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แอน\Desktop\เตรียมประชุม บริหารตำแหน่งว่าง\8 ส.ค. 61 ข้อมูลส่้งจังหวัเด\"/>
    </mc:Choice>
  </mc:AlternateContent>
  <bookViews>
    <workbookView xWindow="0" yWindow="0" windowWidth="20400" windowHeight="7260" activeTab="2"/>
  </bookViews>
  <sheets>
    <sheet name="วิธีกรอกข้อมูล" sheetId="1" r:id="rId1"/>
    <sheet name="แผนกำลังคน" sheetId="2" r:id="rId2"/>
    <sheet name="ข้อมูลเกษียณ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3" i="2" l="1"/>
  <c r="AO4" i="2"/>
  <c r="AM4" i="2"/>
  <c r="AJ4" i="2"/>
  <c r="E5" i="2"/>
  <c r="AC43" i="2"/>
  <c r="AB43" i="2"/>
  <c r="AA43" i="2"/>
  <c r="Z43" i="2"/>
  <c r="AO42" i="2"/>
  <c r="AM42" i="2"/>
  <c r="AN42" i="2" s="1"/>
  <c r="AJ42" i="2"/>
  <c r="AE42" i="2"/>
  <c r="X42" i="2"/>
  <c r="W42" i="2"/>
  <c r="V42" i="2"/>
  <c r="U42" i="2"/>
  <c r="T42" i="2"/>
  <c r="P42" i="2"/>
  <c r="O42" i="2"/>
  <c r="N42" i="2"/>
  <c r="M42" i="2"/>
  <c r="L42" i="2"/>
  <c r="I42" i="2"/>
  <c r="H42" i="2"/>
  <c r="G42" i="2"/>
  <c r="F42" i="2"/>
  <c r="E42" i="2"/>
  <c r="D42" i="2"/>
  <c r="AM41" i="2"/>
  <c r="AN41" i="2" s="1"/>
  <c r="AJ41" i="2"/>
  <c r="AE41" i="2"/>
  <c r="X41" i="2"/>
  <c r="W41" i="2"/>
  <c r="V41" i="2"/>
  <c r="U41" i="2"/>
  <c r="T41" i="2"/>
  <c r="P41" i="2"/>
  <c r="O41" i="2"/>
  <c r="N41" i="2"/>
  <c r="M41" i="2"/>
  <c r="L41" i="2"/>
  <c r="I41" i="2"/>
  <c r="H41" i="2"/>
  <c r="G41" i="2"/>
  <c r="F41" i="2"/>
  <c r="E41" i="2"/>
  <c r="AN40" i="2"/>
  <c r="AM40" i="2"/>
  <c r="AJ40" i="2"/>
  <c r="AE40" i="2"/>
  <c r="AD40" i="2"/>
  <c r="P40" i="2"/>
  <c r="O40" i="2"/>
  <c r="N40" i="2"/>
  <c r="M40" i="2"/>
  <c r="L40" i="2"/>
  <c r="I40" i="2"/>
  <c r="H40" i="2"/>
  <c r="G40" i="2"/>
  <c r="F40" i="2"/>
  <c r="E40" i="2"/>
  <c r="AO39" i="2"/>
  <c r="AN39" i="2"/>
  <c r="AM39" i="2"/>
  <c r="AJ39" i="2"/>
  <c r="AE39" i="2"/>
  <c r="X39" i="2"/>
  <c r="W39" i="2"/>
  <c r="V39" i="2"/>
  <c r="U39" i="2"/>
  <c r="T39" i="2"/>
  <c r="P39" i="2"/>
  <c r="O39" i="2"/>
  <c r="N39" i="2"/>
  <c r="M39" i="2"/>
  <c r="L39" i="2"/>
  <c r="I39" i="2"/>
  <c r="H39" i="2"/>
  <c r="G39" i="2"/>
  <c r="F39" i="2"/>
  <c r="E39" i="2"/>
  <c r="D39" i="2"/>
  <c r="AO38" i="2"/>
  <c r="AN38" i="2"/>
  <c r="AM38" i="2"/>
  <c r="AJ38" i="2"/>
  <c r="AE38" i="2"/>
  <c r="AD38" i="2"/>
  <c r="P38" i="2"/>
  <c r="O38" i="2"/>
  <c r="N38" i="2"/>
  <c r="M38" i="2"/>
  <c r="L38" i="2"/>
  <c r="I38" i="2"/>
  <c r="H38" i="2"/>
  <c r="G38" i="2"/>
  <c r="F38" i="2"/>
  <c r="E38" i="2"/>
  <c r="S38" i="2" s="1"/>
  <c r="D38" i="2"/>
  <c r="AO37" i="2"/>
  <c r="AN37" i="2"/>
  <c r="AM37" i="2"/>
  <c r="AJ37" i="2"/>
  <c r="AE37" i="2"/>
  <c r="X37" i="2"/>
  <c r="W37" i="2"/>
  <c r="V37" i="2"/>
  <c r="U37" i="2"/>
  <c r="T37" i="2"/>
  <c r="P37" i="2"/>
  <c r="O37" i="2"/>
  <c r="N37" i="2"/>
  <c r="M37" i="2"/>
  <c r="L37" i="2"/>
  <c r="I37" i="2"/>
  <c r="H37" i="2"/>
  <c r="G37" i="2"/>
  <c r="F37" i="2"/>
  <c r="E37" i="2"/>
  <c r="AO36" i="2"/>
  <c r="AM36" i="2"/>
  <c r="AN36" i="2" s="1"/>
  <c r="AJ36" i="2"/>
  <c r="AE36" i="2"/>
  <c r="AD36" i="2"/>
  <c r="S36" i="2"/>
  <c r="Q36" i="2"/>
  <c r="J36" i="2"/>
  <c r="D36" i="2"/>
  <c r="AM35" i="2"/>
  <c r="AN35" i="2" s="1"/>
  <c r="AJ35" i="2"/>
  <c r="AE35" i="2"/>
  <c r="X35" i="2"/>
  <c r="W35" i="2"/>
  <c r="V35" i="2"/>
  <c r="U35" i="2"/>
  <c r="T35" i="2"/>
  <c r="P35" i="2"/>
  <c r="O35" i="2"/>
  <c r="N35" i="2"/>
  <c r="M35" i="2"/>
  <c r="L35" i="2"/>
  <c r="I35" i="2"/>
  <c r="H35" i="2"/>
  <c r="G35" i="2"/>
  <c r="F35" i="2"/>
  <c r="E35" i="2"/>
  <c r="D35" i="2"/>
  <c r="AM34" i="2"/>
  <c r="AN34" i="2" s="1"/>
  <c r="AJ34" i="2"/>
  <c r="AE34" i="2"/>
  <c r="X34" i="2"/>
  <c r="W34" i="2"/>
  <c r="V34" i="2"/>
  <c r="U34" i="2"/>
  <c r="T34" i="2"/>
  <c r="P34" i="2"/>
  <c r="O34" i="2"/>
  <c r="N34" i="2"/>
  <c r="M34" i="2"/>
  <c r="L34" i="2"/>
  <c r="I34" i="2"/>
  <c r="H34" i="2"/>
  <c r="G34" i="2"/>
  <c r="F34" i="2"/>
  <c r="E34" i="2"/>
  <c r="AO33" i="2"/>
  <c r="AN33" i="2"/>
  <c r="AM33" i="2"/>
  <c r="AJ33" i="2"/>
  <c r="AE33" i="2"/>
  <c r="AD33" i="2"/>
  <c r="P33" i="2"/>
  <c r="O33" i="2"/>
  <c r="N33" i="2"/>
  <c r="M33" i="2"/>
  <c r="L33" i="2"/>
  <c r="I33" i="2"/>
  <c r="H33" i="2"/>
  <c r="G33" i="2"/>
  <c r="F33" i="2"/>
  <c r="E33" i="2"/>
  <c r="D33" i="2"/>
  <c r="AM32" i="2"/>
  <c r="AN32" i="2" s="1"/>
  <c r="AJ32" i="2"/>
  <c r="AE32" i="2"/>
  <c r="X32" i="2"/>
  <c r="W32" i="2"/>
  <c r="V32" i="2"/>
  <c r="U32" i="2"/>
  <c r="T32" i="2"/>
  <c r="P32" i="2"/>
  <c r="O32" i="2"/>
  <c r="N32" i="2"/>
  <c r="M32" i="2"/>
  <c r="L32" i="2"/>
  <c r="I32" i="2"/>
  <c r="H32" i="2"/>
  <c r="G32" i="2"/>
  <c r="F32" i="2"/>
  <c r="E32" i="2"/>
  <c r="AO31" i="2"/>
  <c r="AN31" i="2"/>
  <c r="AM31" i="2"/>
  <c r="AJ31" i="2"/>
  <c r="AE31" i="2"/>
  <c r="X31" i="2"/>
  <c r="W31" i="2"/>
  <c r="V31" i="2"/>
  <c r="U31" i="2"/>
  <c r="T31" i="2"/>
  <c r="P31" i="2"/>
  <c r="O31" i="2"/>
  <c r="N31" i="2"/>
  <c r="M31" i="2"/>
  <c r="L31" i="2"/>
  <c r="I31" i="2"/>
  <c r="H31" i="2"/>
  <c r="G31" i="2"/>
  <c r="F31" i="2"/>
  <c r="E31" i="2"/>
  <c r="D31" i="2"/>
  <c r="AO30" i="2"/>
  <c r="AM30" i="2"/>
  <c r="AN30" i="2" s="1"/>
  <c r="AJ30" i="2"/>
  <c r="AE30" i="2"/>
  <c r="X30" i="2"/>
  <c r="W30" i="2"/>
  <c r="V30" i="2"/>
  <c r="U30" i="2"/>
  <c r="T30" i="2"/>
  <c r="P30" i="2"/>
  <c r="O30" i="2"/>
  <c r="N30" i="2"/>
  <c r="M30" i="2"/>
  <c r="L30" i="2"/>
  <c r="I30" i="2"/>
  <c r="H30" i="2"/>
  <c r="G30" i="2"/>
  <c r="F30" i="2"/>
  <c r="E30" i="2"/>
  <c r="AO29" i="2"/>
  <c r="AN29" i="2"/>
  <c r="AM29" i="2"/>
  <c r="AJ29" i="2"/>
  <c r="AE29" i="2"/>
  <c r="X29" i="2"/>
  <c r="W29" i="2"/>
  <c r="V29" i="2"/>
  <c r="U29" i="2"/>
  <c r="T29" i="2"/>
  <c r="P29" i="2"/>
  <c r="O29" i="2"/>
  <c r="N29" i="2"/>
  <c r="M29" i="2"/>
  <c r="L29" i="2"/>
  <c r="I29" i="2"/>
  <c r="H29" i="2"/>
  <c r="G29" i="2"/>
  <c r="F29" i="2"/>
  <c r="E29" i="2"/>
  <c r="D29" i="2"/>
  <c r="AN28" i="2"/>
  <c r="AM28" i="2"/>
  <c r="AJ28" i="2"/>
  <c r="AE28" i="2"/>
  <c r="AD28" i="2"/>
  <c r="P28" i="2"/>
  <c r="O28" i="2"/>
  <c r="N28" i="2"/>
  <c r="M28" i="2"/>
  <c r="L28" i="2"/>
  <c r="I28" i="2"/>
  <c r="H28" i="2"/>
  <c r="G28" i="2"/>
  <c r="F28" i="2"/>
  <c r="E28" i="2"/>
  <c r="AN27" i="2"/>
  <c r="AM27" i="2"/>
  <c r="AJ27" i="2"/>
  <c r="AE27" i="2"/>
  <c r="AD27" i="2"/>
  <c r="P27" i="2"/>
  <c r="O27" i="2"/>
  <c r="N27" i="2"/>
  <c r="M27" i="2"/>
  <c r="L27" i="2"/>
  <c r="I27" i="2"/>
  <c r="H27" i="2"/>
  <c r="G27" i="2"/>
  <c r="F27" i="2"/>
  <c r="E27" i="2"/>
  <c r="D27" i="2"/>
  <c r="AO26" i="2"/>
  <c r="AN26" i="2"/>
  <c r="AM26" i="2"/>
  <c r="AJ26" i="2"/>
  <c r="AE26" i="2"/>
  <c r="X26" i="2"/>
  <c r="W26" i="2"/>
  <c r="V26" i="2"/>
  <c r="U26" i="2"/>
  <c r="T26" i="2"/>
  <c r="P26" i="2"/>
  <c r="O26" i="2"/>
  <c r="N26" i="2"/>
  <c r="M26" i="2"/>
  <c r="L26" i="2"/>
  <c r="I26" i="2"/>
  <c r="H26" i="2"/>
  <c r="G26" i="2"/>
  <c r="F26" i="2"/>
  <c r="E26" i="2"/>
  <c r="D26" i="2"/>
  <c r="AO25" i="2"/>
  <c r="AN25" i="2"/>
  <c r="AM25" i="2"/>
  <c r="AJ25" i="2"/>
  <c r="AE25" i="2"/>
  <c r="X25" i="2"/>
  <c r="W25" i="2"/>
  <c r="V25" i="2"/>
  <c r="U25" i="2"/>
  <c r="T25" i="2"/>
  <c r="P25" i="2"/>
  <c r="O25" i="2"/>
  <c r="N25" i="2"/>
  <c r="M25" i="2"/>
  <c r="L25" i="2"/>
  <c r="I25" i="2"/>
  <c r="H25" i="2"/>
  <c r="G25" i="2"/>
  <c r="F25" i="2"/>
  <c r="E25" i="2"/>
  <c r="D25" i="2"/>
  <c r="AO24" i="2"/>
  <c r="AN24" i="2"/>
  <c r="AM24" i="2"/>
  <c r="AJ24" i="2"/>
  <c r="AE24" i="2"/>
  <c r="AD24" i="2"/>
  <c r="P24" i="2"/>
  <c r="O24" i="2"/>
  <c r="N24" i="2"/>
  <c r="M24" i="2"/>
  <c r="L24" i="2"/>
  <c r="I24" i="2"/>
  <c r="H24" i="2"/>
  <c r="G24" i="2"/>
  <c r="F24" i="2"/>
  <c r="E24" i="2"/>
  <c r="D24" i="2"/>
  <c r="AO23" i="2"/>
  <c r="AM23" i="2"/>
  <c r="AN23" i="2" s="1"/>
  <c r="AJ23" i="2"/>
  <c r="AE23" i="2"/>
  <c r="X23" i="2"/>
  <c r="W23" i="2"/>
  <c r="V23" i="2"/>
  <c r="U23" i="2"/>
  <c r="T23" i="2"/>
  <c r="P23" i="2"/>
  <c r="O23" i="2"/>
  <c r="N23" i="2"/>
  <c r="M23" i="2"/>
  <c r="L23" i="2"/>
  <c r="I23" i="2"/>
  <c r="H23" i="2"/>
  <c r="G23" i="2"/>
  <c r="F23" i="2"/>
  <c r="E23" i="2"/>
  <c r="D23" i="2"/>
  <c r="AO22" i="2"/>
  <c r="AN22" i="2"/>
  <c r="AM22" i="2"/>
  <c r="AJ22" i="2"/>
  <c r="AE22" i="2"/>
  <c r="X22" i="2"/>
  <c r="W22" i="2"/>
  <c r="V22" i="2"/>
  <c r="U22" i="2"/>
  <c r="T22" i="2"/>
  <c r="P22" i="2"/>
  <c r="O22" i="2"/>
  <c r="N22" i="2"/>
  <c r="M22" i="2"/>
  <c r="L22" i="2"/>
  <c r="I22" i="2"/>
  <c r="H22" i="2"/>
  <c r="G22" i="2"/>
  <c r="F22" i="2"/>
  <c r="E22" i="2"/>
  <c r="AO21" i="2"/>
  <c r="AM21" i="2"/>
  <c r="AN21" i="2" s="1"/>
  <c r="AJ21" i="2"/>
  <c r="AE21" i="2"/>
  <c r="X21" i="2"/>
  <c r="W21" i="2"/>
  <c r="V21" i="2"/>
  <c r="U21" i="2"/>
  <c r="T21" i="2"/>
  <c r="P21" i="2"/>
  <c r="O21" i="2"/>
  <c r="N21" i="2"/>
  <c r="M21" i="2"/>
  <c r="L21" i="2"/>
  <c r="I21" i="2"/>
  <c r="H21" i="2"/>
  <c r="G21" i="2"/>
  <c r="F21" i="2"/>
  <c r="E21" i="2"/>
  <c r="D21" i="2"/>
  <c r="AO20" i="2"/>
  <c r="AM20" i="2"/>
  <c r="AN20" i="2" s="1"/>
  <c r="AJ20" i="2"/>
  <c r="AE20" i="2"/>
  <c r="X20" i="2"/>
  <c r="W20" i="2"/>
  <c r="V20" i="2"/>
  <c r="U20" i="2"/>
  <c r="T20" i="2"/>
  <c r="P20" i="2"/>
  <c r="O20" i="2"/>
  <c r="N20" i="2"/>
  <c r="M20" i="2"/>
  <c r="L20" i="2"/>
  <c r="I20" i="2"/>
  <c r="H20" i="2"/>
  <c r="G20" i="2"/>
  <c r="F20" i="2"/>
  <c r="E20" i="2"/>
  <c r="S20" i="2" s="1"/>
  <c r="D20" i="2"/>
  <c r="AN19" i="2"/>
  <c r="AM19" i="2"/>
  <c r="AJ19" i="2"/>
  <c r="AE19" i="2"/>
  <c r="X19" i="2"/>
  <c r="W19" i="2"/>
  <c r="V19" i="2"/>
  <c r="U19" i="2"/>
  <c r="T19" i="2"/>
  <c r="P19" i="2"/>
  <c r="O19" i="2"/>
  <c r="N19" i="2"/>
  <c r="M19" i="2"/>
  <c r="L19" i="2"/>
  <c r="I19" i="2"/>
  <c r="H19" i="2"/>
  <c r="G19" i="2"/>
  <c r="F19" i="2"/>
  <c r="E19" i="2"/>
  <c r="S19" i="2" s="1"/>
  <c r="D19" i="2"/>
  <c r="AO18" i="2"/>
  <c r="AM18" i="2"/>
  <c r="AN18" i="2" s="1"/>
  <c r="AJ18" i="2"/>
  <c r="AE18" i="2"/>
  <c r="X18" i="2"/>
  <c r="W18" i="2"/>
  <c r="V18" i="2"/>
  <c r="U18" i="2"/>
  <c r="T18" i="2"/>
  <c r="P18" i="2"/>
  <c r="O18" i="2"/>
  <c r="N18" i="2"/>
  <c r="M18" i="2"/>
  <c r="L18" i="2"/>
  <c r="I18" i="2"/>
  <c r="H18" i="2"/>
  <c r="G18" i="2"/>
  <c r="F18" i="2"/>
  <c r="E18" i="2"/>
  <c r="AO17" i="2"/>
  <c r="AN17" i="2"/>
  <c r="AM17" i="2"/>
  <c r="AJ17" i="2"/>
  <c r="AE17" i="2"/>
  <c r="AD17" i="2"/>
  <c r="P17" i="2"/>
  <c r="O17" i="2"/>
  <c r="N17" i="2"/>
  <c r="M17" i="2"/>
  <c r="L17" i="2"/>
  <c r="I17" i="2"/>
  <c r="H17" i="2"/>
  <c r="G17" i="2"/>
  <c r="F17" i="2"/>
  <c r="E17" i="2"/>
  <c r="D17" i="2"/>
  <c r="AM16" i="2"/>
  <c r="AN16" i="2" s="1"/>
  <c r="AJ16" i="2"/>
  <c r="AE16" i="2"/>
  <c r="AD16" i="2"/>
  <c r="S16" i="2"/>
  <c r="Q16" i="2"/>
  <c r="J16" i="2"/>
  <c r="AO15" i="2"/>
  <c r="AN15" i="2"/>
  <c r="AM15" i="2"/>
  <c r="AJ15" i="2"/>
  <c r="AE15" i="2"/>
  <c r="X15" i="2"/>
  <c r="W15" i="2"/>
  <c r="V15" i="2"/>
  <c r="U15" i="2"/>
  <c r="T15" i="2"/>
  <c r="P15" i="2"/>
  <c r="O15" i="2"/>
  <c r="N15" i="2"/>
  <c r="M15" i="2"/>
  <c r="L15" i="2"/>
  <c r="I15" i="2"/>
  <c r="H15" i="2"/>
  <c r="G15" i="2"/>
  <c r="F15" i="2"/>
  <c r="E15" i="2"/>
  <c r="AO14" i="2"/>
  <c r="AM14" i="2"/>
  <c r="AN14" i="2" s="1"/>
  <c r="AJ14" i="2"/>
  <c r="AE14" i="2"/>
  <c r="X14" i="2"/>
  <c r="W14" i="2"/>
  <c r="V14" i="2"/>
  <c r="U14" i="2"/>
  <c r="T14" i="2"/>
  <c r="P14" i="2"/>
  <c r="O14" i="2"/>
  <c r="N14" i="2"/>
  <c r="M14" i="2"/>
  <c r="L14" i="2"/>
  <c r="I14" i="2"/>
  <c r="H14" i="2"/>
  <c r="G14" i="2"/>
  <c r="F14" i="2"/>
  <c r="E14" i="2"/>
  <c r="D14" i="2"/>
  <c r="AO13" i="2"/>
  <c r="AN13" i="2"/>
  <c r="AM13" i="2"/>
  <c r="AJ13" i="2"/>
  <c r="AE13" i="2"/>
  <c r="X13" i="2"/>
  <c r="W13" i="2"/>
  <c r="V13" i="2"/>
  <c r="U13" i="2"/>
  <c r="T13" i="2"/>
  <c r="P13" i="2"/>
  <c r="O13" i="2"/>
  <c r="N13" i="2"/>
  <c r="M13" i="2"/>
  <c r="L13" i="2"/>
  <c r="I13" i="2"/>
  <c r="H13" i="2"/>
  <c r="G13" i="2"/>
  <c r="F13" i="2"/>
  <c r="E13" i="2"/>
  <c r="AO12" i="2"/>
  <c r="AM12" i="2"/>
  <c r="AN12" i="2" s="1"/>
  <c r="AJ12" i="2"/>
  <c r="AE12" i="2"/>
  <c r="X12" i="2"/>
  <c r="W12" i="2"/>
  <c r="V12" i="2"/>
  <c r="U12" i="2"/>
  <c r="T12" i="2"/>
  <c r="P12" i="2"/>
  <c r="O12" i="2"/>
  <c r="N12" i="2"/>
  <c r="M12" i="2"/>
  <c r="L12" i="2"/>
  <c r="I12" i="2"/>
  <c r="H12" i="2"/>
  <c r="G12" i="2"/>
  <c r="F12" i="2"/>
  <c r="E12" i="2"/>
  <c r="D12" i="2"/>
  <c r="AO11" i="2"/>
  <c r="AN11" i="2"/>
  <c r="AM11" i="2"/>
  <c r="AJ11" i="2"/>
  <c r="AE11" i="2"/>
  <c r="X11" i="2"/>
  <c r="W11" i="2"/>
  <c r="V11" i="2"/>
  <c r="U11" i="2"/>
  <c r="T11" i="2"/>
  <c r="P11" i="2"/>
  <c r="O11" i="2"/>
  <c r="N11" i="2"/>
  <c r="M11" i="2"/>
  <c r="L11" i="2"/>
  <c r="I11" i="2"/>
  <c r="H11" i="2"/>
  <c r="G11" i="2"/>
  <c r="F11" i="2"/>
  <c r="E11" i="2"/>
  <c r="AO10" i="2"/>
  <c r="AN10" i="2"/>
  <c r="AM10" i="2"/>
  <c r="AJ10" i="2"/>
  <c r="AE10" i="2"/>
  <c r="X10" i="2"/>
  <c r="W10" i="2"/>
  <c r="V10" i="2"/>
  <c r="U10" i="2"/>
  <c r="T10" i="2"/>
  <c r="P10" i="2"/>
  <c r="O10" i="2"/>
  <c r="N10" i="2"/>
  <c r="M10" i="2"/>
  <c r="L10" i="2"/>
  <c r="I10" i="2"/>
  <c r="H10" i="2"/>
  <c r="G10" i="2"/>
  <c r="F10" i="2"/>
  <c r="E10" i="2"/>
  <c r="S10" i="2" s="1"/>
  <c r="AO9" i="2"/>
  <c r="AM9" i="2"/>
  <c r="AN9" i="2" s="1"/>
  <c r="AJ9" i="2"/>
  <c r="AE9" i="2"/>
  <c r="X9" i="2"/>
  <c r="W9" i="2"/>
  <c r="V9" i="2"/>
  <c r="U9" i="2"/>
  <c r="T9" i="2"/>
  <c r="P9" i="2"/>
  <c r="O9" i="2"/>
  <c r="N9" i="2"/>
  <c r="M9" i="2"/>
  <c r="L9" i="2"/>
  <c r="I9" i="2"/>
  <c r="H9" i="2"/>
  <c r="G9" i="2"/>
  <c r="F9" i="2"/>
  <c r="E9" i="2"/>
  <c r="D9" i="2"/>
  <c r="AN8" i="2"/>
  <c r="AM8" i="2"/>
  <c r="AJ8" i="2"/>
  <c r="AE8" i="2"/>
  <c r="X8" i="2"/>
  <c r="W8" i="2"/>
  <c r="V8" i="2"/>
  <c r="U8" i="2"/>
  <c r="T8" i="2"/>
  <c r="P8" i="2"/>
  <c r="O8" i="2"/>
  <c r="N8" i="2"/>
  <c r="M8" i="2"/>
  <c r="L8" i="2"/>
  <c r="I8" i="2"/>
  <c r="H8" i="2"/>
  <c r="G8" i="2"/>
  <c r="F8" i="2"/>
  <c r="E8" i="2"/>
  <c r="D8" i="2"/>
  <c r="K8" i="2" s="1"/>
  <c r="AO7" i="2"/>
  <c r="AN7" i="2"/>
  <c r="AM7" i="2"/>
  <c r="AJ7" i="2"/>
  <c r="AE7" i="2"/>
  <c r="X7" i="2"/>
  <c r="W7" i="2"/>
  <c r="V7" i="2"/>
  <c r="U7" i="2"/>
  <c r="T7" i="2"/>
  <c r="P7" i="2"/>
  <c r="O7" i="2"/>
  <c r="N7" i="2"/>
  <c r="M7" i="2"/>
  <c r="L7" i="2"/>
  <c r="I7" i="2"/>
  <c r="H7" i="2"/>
  <c r="G7" i="2"/>
  <c r="F7" i="2"/>
  <c r="E7" i="2"/>
  <c r="S7" i="2" s="1"/>
  <c r="D7" i="2"/>
  <c r="AO6" i="2"/>
  <c r="AN6" i="2"/>
  <c r="AM6" i="2"/>
  <c r="AJ6" i="2"/>
  <c r="AE6" i="2"/>
  <c r="X6" i="2"/>
  <c r="W6" i="2"/>
  <c r="V6" i="2"/>
  <c r="U6" i="2"/>
  <c r="T6" i="2"/>
  <c r="S6" i="2"/>
  <c r="P6" i="2"/>
  <c r="O6" i="2"/>
  <c r="N6" i="2"/>
  <c r="M6" i="2"/>
  <c r="L6" i="2"/>
  <c r="I6" i="2"/>
  <c r="H6" i="2"/>
  <c r="G6" i="2"/>
  <c r="F6" i="2"/>
  <c r="E6" i="2"/>
  <c r="D6" i="2"/>
  <c r="AO5" i="2"/>
  <c r="AN5" i="2"/>
  <c r="AM5" i="2"/>
  <c r="AJ5" i="2"/>
  <c r="AE5" i="2"/>
  <c r="X5" i="2"/>
  <c r="W5" i="2"/>
  <c r="V5" i="2"/>
  <c r="U5" i="2"/>
  <c r="T5" i="2"/>
  <c r="P5" i="2"/>
  <c r="O5" i="2"/>
  <c r="N5" i="2"/>
  <c r="M5" i="2"/>
  <c r="L5" i="2"/>
  <c r="I5" i="2"/>
  <c r="H5" i="2"/>
  <c r="G5" i="2"/>
  <c r="F5" i="2"/>
  <c r="D5" i="2"/>
  <c r="K5" i="2" s="1"/>
  <c r="AN4" i="2"/>
  <c r="AE4" i="2"/>
  <c r="X4" i="2"/>
  <c r="W4" i="2"/>
  <c r="V4" i="2"/>
  <c r="U4" i="2"/>
  <c r="T4" i="2"/>
  <c r="P4" i="2"/>
  <c r="O4" i="2"/>
  <c r="N4" i="2"/>
  <c r="M4" i="2"/>
  <c r="L4" i="2"/>
  <c r="S4" i="2" s="1"/>
  <c r="I4" i="2"/>
  <c r="H4" i="2"/>
  <c r="G4" i="2"/>
  <c r="F4" i="2"/>
  <c r="E4" i="2"/>
  <c r="D4" i="2"/>
  <c r="K19" i="2" l="1"/>
  <c r="S37" i="2"/>
  <c r="S41" i="2"/>
  <c r="K6" i="2"/>
  <c r="S8" i="2"/>
  <c r="S34" i="2"/>
  <c r="Q23" i="2"/>
  <c r="Q24" i="2"/>
  <c r="R24" i="2" s="1"/>
  <c r="AD26" i="2"/>
  <c r="Q27" i="2"/>
  <c r="AD29" i="2"/>
  <c r="AD31" i="2"/>
  <c r="Q35" i="2"/>
  <c r="AD39" i="2"/>
  <c r="Q42" i="2"/>
  <c r="D43" i="2"/>
  <c r="AD5" i="2"/>
  <c r="AF5" i="2" s="1"/>
  <c r="AG5" i="2" s="1"/>
  <c r="J6" i="2"/>
  <c r="AD20" i="2"/>
  <c r="AD21" i="2"/>
  <c r="H43" i="2"/>
  <c r="Q7" i="2"/>
  <c r="R7" i="2" s="1"/>
  <c r="K7" i="2"/>
  <c r="J9" i="2"/>
  <c r="Q9" i="2"/>
  <c r="Q11" i="2"/>
  <c r="Q13" i="2"/>
  <c r="Q15" i="2"/>
  <c r="J17" i="2"/>
  <c r="Q17" i="2"/>
  <c r="AD19" i="2"/>
  <c r="AF19" i="2" s="1"/>
  <c r="AG19" i="2" s="1"/>
  <c r="W43" i="2"/>
  <c r="P43" i="2"/>
  <c r="AD4" i="2"/>
  <c r="X43" i="2"/>
  <c r="J5" i="2"/>
  <c r="Q6" i="2"/>
  <c r="R6" i="2" s="1"/>
  <c r="AD8" i="2"/>
  <c r="AF8" i="2" s="1"/>
  <c r="AG8" i="2" s="1"/>
  <c r="J12" i="2"/>
  <c r="J14" i="2"/>
  <c r="Q14" i="2"/>
  <c r="R14" i="2" s="1"/>
  <c r="Q18" i="2"/>
  <c r="R17" i="2" s="1"/>
  <c r="AD18" i="2"/>
  <c r="J22" i="2"/>
  <c r="AD23" i="2"/>
  <c r="S30" i="2"/>
  <c r="S32" i="2"/>
  <c r="J33" i="2"/>
  <c r="AD35" i="2"/>
  <c r="Q38" i="2"/>
  <c r="S40" i="2"/>
  <c r="AD42" i="2"/>
  <c r="U43" i="2"/>
  <c r="Q5" i="2"/>
  <c r="R5" i="2" s="1"/>
  <c r="AD7" i="2"/>
  <c r="AF7" i="2" s="1"/>
  <c r="AG7" i="2" s="1"/>
  <c r="J8" i="2"/>
  <c r="AD10" i="2"/>
  <c r="AD11" i="2"/>
  <c r="AD13" i="2"/>
  <c r="AD15" i="2"/>
  <c r="Q22" i="2"/>
  <c r="Q25" i="2"/>
  <c r="J30" i="2"/>
  <c r="J32" i="2"/>
  <c r="Q34" i="2"/>
  <c r="AD34" i="2"/>
  <c r="J40" i="2"/>
  <c r="Q41" i="2"/>
  <c r="AD41" i="2"/>
  <c r="F43" i="2"/>
  <c r="K4" i="2"/>
  <c r="O43" i="2"/>
  <c r="G43" i="2"/>
  <c r="L43" i="2"/>
  <c r="S5" i="2"/>
  <c r="AD6" i="2"/>
  <c r="AP6" i="2" s="1"/>
  <c r="J7" i="2"/>
  <c r="Q8" i="2"/>
  <c r="R8" i="2" s="1"/>
  <c r="J11" i="2"/>
  <c r="K12" i="2"/>
  <c r="J13" i="2"/>
  <c r="K14" i="2"/>
  <c r="J15" i="2"/>
  <c r="S18" i="2"/>
  <c r="Q20" i="2"/>
  <c r="R20" i="2" s="1"/>
  <c r="J21" i="2"/>
  <c r="Q21" i="2"/>
  <c r="S22" i="2"/>
  <c r="S23" i="2"/>
  <c r="S24" i="2"/>
  <c r="AD25" i="2"/>
  <c r="Q26" i="2"/>
  <c r="R26" i="2" s="1"/>
  <c r="Q29" i="2"/>
  <c r="Q30" i="2"/>
  <c r="AD30" i="2"/>
  <c r="Q31" i="2"/>
  <c r="Q32" i="2"/>
  <c r="AD32" i="2"/>
  <c r="S35" i="2"/>
  <c r="Q37" i="2"/>
  <c r="R36" i="2" s="1"/>
  <c r="Q39" i="2"/>
  <c r="Q40" i="2"/>
  <c r="AF6" i="2"/>
  <c r="AG6" i="2" s="1"/>
  <c r="K42" i="2"/>
  <c r="AF42" i="2" s="1"/>
  <c r="AG42" i="2" s="1"/>
  <c r="R42" i="2"/>
  <c r="K9" i="2"/>
  <c r="J10" i="2"/>
  <c r="S11" i="2"/>
  <c r="Q19" i="2"/>
  <c r="R19" i="2" s="1"/>
  <c r="K21" i="2"/>
  <c r="J23" i="2"/>
  <c r="Q28" i="2"/>
  <c r="R28" i="2" s="1"/>
  <c r="S29" i="2"/>
  <c r="K29" i="2"/>
  <c r="J29" i="2"/>
  <c r="AP29" i="2" s="1"/>
  <c r="AR29" i="2" s="1"/>
  <c r="S31" i="2"/>
  <c r="K31" i="2"/>
  <c r="J31" i="2"/>
  <c r="J34" i="2"/>
  <c r="AP33" i="2" s="1"/>
  <c r="J35" i="2"/>
  <c r="AP35" i="2" s="1"/>
  <c r="AR35" i="2" s="1"/>
  <c r="J38" i="2"/>
  <c r="AP38" i="2" s="1"/>
  <c r="AR38" i="2" s="1"/>
  <c r="S42" i="2"/>
  <c r="T43" i="2"/>
  <c r="K20" i="2"/>
  <c r="AF20" i="2" s="1"/>
  <c r="AG20" i="2" s="1"/>
  <c r="K24" i="2"/>
  <c r="AF24" i="2" s="1"/>
  <c r="AG24" i="2" s="1"/>
  <c r="S28" i="2"/>
  <c r="J28" i="2"/>
  <c r="E43" i="2"/>
  <c r="I43" i="2"/>
  <c r="M43" i="2"/>
  <c r="Q4" i="2"/>
  <c r="S9" i="2"/>
  <c r="AD9" i="2"/>
  <c r="Q10" i="2"/>
  <c r="AD12" i="2"/>
  <c r="AP12" i="2" s="1"/>
  <c r="AD14" i="2"/>
  <c r="J18" i="2"/>
  <c r="J19" i="2"/>
  <c r="AP19" i="2" s="1"/>
  <c r="J20" i="2"/>
  <c r="AP20" i="2" s="1"/>
  <c r="AR20" i="2" s="1"/>
  <c r="S21" i="2"/>
  <c r="AD22" i="2"/>
  <c r="J24" i="2"/>
  <c r="AP24" i="2" s="1"/>
  <c r="AR24" i="2" s="1"/>
  <c r="Q33" i="2"/>
  <c r="J37" i="2"/>
  <c r="K36" i="2"/>
  <c r="AD37" i="2"/>
  <c r="S39" i="2"/>
  <c r="K39" i="2"/>
  <c r="J39" i="2"/>
  <c r="J41" i="2"/>
  <c r="J42" i="2"/>
  <c r="Q12" i="2"/>
  <c r="R12" i="2" s="1"/>
  <c r="S12" i="2"/>
  <c r="J4" i="2"/>
  <c r="AP4" i="2" s="1"/>
  <c r="N43" i="2"/>
  <c r="V43" i="2"/>
  <c r="AP21" i="2"/>
  <c r="AR21" i="2" s="1"/>
  <c r="K23" i="2"/>
  <c r="AF23" i="2" s="1"/>
  <c r="AG23" i="2" s="1"/>
  <c r="R23" i="2"/>
  <c r="S25" i="2"/>
  <c r="K25" i="2"/>
  <c r="AF25" i="2" s="1"/>
  <c r="AG25" i="2" s="1"/>
  <c r="J25" i="2"/>
  <c r="AP25" i="2" s="1"/>
  <c r="AR25" i="2" s="1"/>
  <c r="S26" i="2"/>
  <c r="K26" i="2"/>
  <c r="J26" i="2"/>
  <c r="K27" i="2"/>
  <c r="AF27" i="2" s="1"/>
  <c r="AG27" i="2" s="1"/>
  <c r="S27" i="2"/>
  <c r="J27" i="2"/>
  <c r="K35" i="2"/>
  <c r="R35" i="2"/>
  <c r="K38" i="2"/>
  <c r="AF38" i="2" s="1"/>
  <c r="AG38" i="2" s="1"/>
  <c r="R38" i="2"/>
  <c r="AQ38" i="2"/>
  <c r="AE43" i="2"/>
  <c r="S14" i="2"/>
  <c r="K17" i="2"/>
  <c r="AF17" i="2" s="1"/>
  <c r="AG17" i="2" s="1"/>
  <c r="S17" i="2"/>
  <c r="R25" i="2"/>
  <c r="K33" i="2"/>
  <c r="AF33" i="2" s="1"/>
  <c r="AG33" i="2" s="1"/>
  <c r="S33" i="2"/>
  <c r="S13" i="2"/>
  <c r="S15" i="2"/>
  <c r="AP8" i="2" l="1"/>
  <c r="AP5" i="2"/>
  <c r="AP26" i="2"/>
  <c r="R9" i="2"/>
  <c r="AF26" i="2"/>
  <c r="AG26" i="2" s="1"/>
  <c r="AP17" i="2"/>
  <c r="AR17" i="2" s="1"/>
  <c r="AP31" i="2"/>
  <c r="AR31" i="2" s="1"/>
  <c r="AF29" i="2"/>
  <c r="AG29" i="2" s="1"/>
  <c r="AF35" i="2"/>
  <c r="AG35" i="2" s="1"/>
  <c r="AP23" i="2"/>
  <c r="AR23" i="2" s="1"/>
  <c r="AQ35" i="2"/>
  <c r="AP42" i="2"/>
  <c r="AR42" i="2" s="1"/>
  <c r="AF14" i="2"/>
  <c r="AG14" i="2" s="1"/>
  <c r="AF31" i="2"/>
  <c r="AG31" i="2" s="1"/>
  <c r="R39" i="2"/>
  <c r="R29" i="2"/>
  <c r="AP7" i="2"/>
  <c r="AQ7" i="2" s="1"/>
  <c r="R21" i="2"/>
  <c r="AF4" i="2"/>
  <c r="AG4" i="2" s="1"/>
  <c r="R31" i="2"/>
  <c r="AP27" i="2"/>
  <c r="AR27" i="2" s="1"/>
  <c r="AF39" i="2"/>
  <c r="AG39" i="2" s="1"/>
  <c r="AP36" i="2"/>
  <c r="AD43" i="2"/>
  <c r="AQ24" i="2"/>
  <c r="AP9" i="2"/>
  <c r="AR9" i="2" s="1"/>
  <c r="AQ31" i="2"/>
  <c r="AF12" i="2"/>
  <c r="AG12" i="2" s="1"/>
  <c r="R33" i="2"/>
  <c r="S43" i="2"/>
  <c r="AF9" i="2"/>
  <c r="AG9" i="2" s="1"/>
  <c r="AR12" i="2"/>
  <c r="AQ12" i="2"/>
  <c r="AR33" i="2"/>
  <c r="AQ33" i="2"/>
  <c r="AR36" i="2"/>
  <c r="AQ36" i="2"/>
  <c r="AP39" i="2"/>
  <c r="AF36" i="2"/>
  <c r="AG36" i="2" s="1"/>
  <c r="AQ25" i="2"/>
  <c r="Q43" i="2"/>
  <c r="R4" i="2"/>
  <c r="R43" i="2" s="1"/>
  <c r="AQ29" i="2"/>
  <c r="AP14" i="2"/>
  <c r="AQ6" i="2"/>
  <c r="AR6" i="2"/>
  <c r="AQ5" i="2"/>
  <c r="AR5" i="2"/>
  <c r="J43" i="2"/>
  <c r="AR19" i="2"/>
  <c r="AQ19" i="2"/>
  <c r="K43" i="2"/>
  <c r="AQ21" i="2"/>
  <c r="AQ42" i="2"/>
  <c r="AQ20" i="2"/>
  <c r="AF21" i="2"/>
  <c r="AG21" i="2" s="1"/>
  <c r="AR8" i="2"/>
  <c r="AQ8" i="2"/>
  <c r="AQ23" i="2" l="1"/>
  <c r="AQ27" i="2"/>
  <c r="AQ17" i="2"/>
  <c r="AR7" i="2"/>
  <c r="AR26" i="2"/>
  <c r="AQ26" i="2"/>
  <c r="AQ9" i="2"/>
  <c r="AQ4" i="2"/>
  <c r="AR4" i="2"/>
  <c r="AR14" i="2"/>
  <c r="AQ14" i="2"/>
  <c r="AR39" i="2"/>
  <c r="AQ39" i="2"/>
</calcChain>
</file>

<file path=xl/sharedStrings.xml><?xml version="1.0" encoding="utf-8"?>
<sst xmlns="http://schemas.openxmlformats.org/spreadsheetml/2006/main" count="212" uniqueCount="115">
  <si>
    <t xml:space="preserve">                                                                                                                                                                             แผนกำลังคนหน่วยบริการสุขภาพสังกัดสำนักงานปลัดกระทรวง(ภาพรวม) ตามยุทธศาสตร์กระทรวงสาธารณสุข 3 ปีแรก(2561-2564)</t>
  </si>
  <si>
    <t>ที่</t>
  </si>
  <si>
    <t>ตำแหน่ง</t>
  </si>
  <si>
    <t>กรอบอัตรากำลัง</t>
  </si>
  <si>
    <t>ประเภทการจ้างงาน ( 1 มิถุนายน 2560 ) ตำแหน่ง</t>
  </si>
  <si>
    <t>ขาดตำแหน่งขรกเทียบกรอบ100%</t>
  </si>
  <si>
    <t>ประเภทการจ้างงาน ( 1 มิถุนายน 2561 ) มีคน</t>
  </si>
  <si>
    <t>ขาดคนเทียบ
กรอบ100%</t>
  </si>
  <si>
    <t>ขาดตำแหน่ง ขรก</t>
  </si>
  <si>
    <t>เกษียณ</t>
  </si>
  <si>
    <t>ออกด้วยสาเหตุอื่นๆที่ไม่ใช่เกษียณ เช่น ลาออก ลาเรียน</t>
  </si>
  <si>
    <t>เกษียณ 60-64</t>
  </si>
  <si>
    <t>ลาออกเฉลี่ย/ปี</t>
  </si>
  <si>
    <t>ส่วนขาด+ทดแทนคนเกษียณ</t>
  </si>
  <si>
    <t>ควรรับทดแทนส่วนขาด/ปี</t>
  </si>
  <si>
    <t>ในpipelineจบปี60-64</t>
  </si>
  <si>
    <t>คาดประมาณผู้เข้าทำงานในกระทรวง60-64</t>
  </si>
  <si>
    <t>Supply stock in 64</t>
  </si>
  <si>
    <t>ส่วนขาด64</t>
  </si>
  <si>
    <t>% supply 64</t>
  </si>
  <si>
    <t>ข้าราชการ</t>
  </si>
  <si>
    <t>พรก</t>
  </si>
  <si>
    <t>พกส</t>
  </si>
  <si>
    <t>ลจประจำ</t>
  </si>
  <si>
    <t>ลจชั่วคราว</t>
  </si>
  <si>
    <t>รวม</t>
  </si>
  <si>
    <t>60</t>
  </si>
  <si>
    <t>61</t>
  </si>
  <si>
    <t>62</t>
  </si>
  <si>
    <t>63</t>
  </si>
  <si>
    <t>กระทรวงผลิต</t>
  </si>
  <si>
    <t>สังกัดอื่นผลิต</t>
  </si>
  <si>
    <t>รับจาก กสธผลิต</t>
  </si>
  <si>
    <t>รับจากนอกกสธ</t>
  </si>
  <si>
    <t>รวมรับ60-64</t>
  </si>
  <si>
    <t>รวมรับ/ปี</t>
  </si>
  <si>
    <t>รับจากนอก กสธ/ปี</t>
  </si>
  <si>
    <t>แพทย์</t>
  </si>
  <si>
    <t>ทันตแพทย์</t>
  </si>
  <si>
    <t>เภสัชกร</t>
  </si>
  <si>
    <t>พยาบาลวิชาชีพ</t>
  </si>
  <si>
    <t>ผู้ช่วยพยาบาล</t>
  </si>
  <si>
    <t>นักเทคนิคการแพทย์</t>
  </si>
  <si>
    <t>นักวิทยาศาสตร์การแพทย์</t>
  </si>
  <si>
    <t>จพวิทยาศาสตร์การแพทย์</t>
  </si>
  <si>
    <t>นักกายภาพบำบัด</t>
  </si>
  <si>
    <t>จพ.ฟื้นฟู/พนักงาน/ผช</t>
  </si>
  <si>
    <t>นักรังสีการแพทย์</t>
  </si>
  <si>
    <t>จพ.รังสีการแพทย์</t>
  </si>
  <si>
    <t>นักรังสีฟิสิกส์</t>
  </si>
  <si>
    <t>นวกสธ (ทันตสาธารณสุข)</t>
  </si>
  <si>
    <t>จพ ทันตสาธารณสุข</t>
  </si>
  <si>
    <t>ช่างทันตกรรม</t>
  </si>
  <si>
    <t>จพ.เภสัชกรรม</t>
  </si>
  <si>
    <t>นักจิตวิทยา</t>
  </si>
  <si>
    <t>นักจิตวิทยาคลินิก</t>
  </si>
  <si>
    <t>นักเวชศาสตร์การสื่อความหมาย</t>
  </si>
  <si>
    <t>นักกายอุปกรณ์</t>
  </si>
  <si>
    <t>ช่างกายอุปกรณ์</t>
  </si>
  <si>
    <t>นักกิจกรรมบำบัด</t>
  </si>
  <si>
    <t>นักปฏิบัติการฉุกเฉิน</t>
  </si>
  <si>
    <t>จพ.เวชกิจฉุกเฉิน/EMT</t>
  </si>
  <si>
    <t>นวก สาธารณสุข</t>
  </si>
  <si>
    <t>จพ.สธ</t>
  </si>
  <si>
    <t>แพทย์แผนไทย</t>
  </si>
  <si>
    <t>จพสธ (อายุรเวท)</t>
  </si>
  <si>
    <t>นักวิชาการโสตทัศนศึกษา</t>
  </si>
  <si>
    <t>จพ โสตทัศนศึกษา</t>
  </si>
  <si>
    <t>ช่างภาพการแพทย์</t>
  </si>
  <si>
    <t>นวก.สธ (เวชสถิติ)</t>
  </si>
  <si>
    <t>จพ.เวชสถิติ</t>
  </si>
  <si>
    <t>นักเทคฯหัวใจและทรวงอก</t>
  </si>
  <si>
    <t>นักโภชนาการ</t>
  </si>
  <si>
    <t>นักกำหนดอาหาร</t>
  </si>
  <si>
    <t>โภชนากร</t>
  </si>
  <si>
    <t>นักสังคมสงเคราะห์</t>
  </si>
  <si>
    <t>จำนวนผู้เกษียณ 5 ปี</t>
  </si>
  <si>
    <t>ปี พ.ศ. 2561</t>
  </si>
  <si>
    <t>ปี พ.ศ. 2562</t>
  </si>
  <si>
    <t>ปี พ.ศ. 2563</t>
  </si>
  <si>
    <t>ปี พ.ศ. 2564</t>
  </si>
  <si>
    <t>ปี พ.ศ. 2565</t>
  </si>
  <si>
    <t>ประเภท</t>
  </si>
  <si>
    <t>วิชาการ</t>
  </si>
  <si>
    <t>ทั่วไป</t>
  </si>
  <si>
    <t>ปก/ชก</t>
  </si>
  <si>
    <t>ปก/ชก/ชพ</t>
  </si>
  <si>
    <t>ชพ</t>
  </si>
  <si>
    <t>ชช</t>
  </si>
  <si>
    <t>ทว</t>
  </si>
  <si>
    <t>ปง/ชง</t>
  </si>
  <si>
    <t>ชง</t>
  </si>
  <si>
    <t>อว</t>
  </si>
  <si>
    <t>สายงานหลัก</t>
  </si>
  <si>
    <t>สายสนับสนุน</t>
  </si>
  <si>
    <t>เจ้าพนักงานการเงินและบัญชี</t>
  </si>
  <si>
    <t>เจ้าพนักงานธุรการ</t>
  </si>
  <si>
    <t xml:space="preserve">เจ้าพนักงานเผยแพร่ประชาสัมพันธ์ </t>
  </si>
  <si>
    <t>เจ้าพนักงานพัสดุ</t>
  </si>
  <si>
    <t>เจ้าพนักงานห้องสมุด</t>
  </si>
  <si>
    <t>นักทรัพยากรบุคคล</t>
  </si>
  <si>
    <t>นักประชาสัมพันธ์</t>
  </si>
  <si>
    <t>นักวิเคราะห์นโยบายและแผน</t>
  </si>
  <si>
    <t>นักวิชาการคอมพิวเตอร์</t>
  </si>
  <si>
    <t>นักวิชาการเงินและบัญชี</t>
  </si>
  <si>
    <t>นักวิชาการพัสดุ</t>
  </si>
  <si>
    <t>นักวิชาการสถิติ</t>
  </si>
  <si>
    <t>นายช่างเทคนิค</t>
  </si>
  <si>
    <t>นายช่างศิลป์</t>
  </si>
  <si>
    <t>นิติกร</t>
  </si>
  <si>
    <t>บรรณารักษ์</t>
  </si>
  <si>
    <t>วิศวกรโยธา/เครื่องกล/ไฟฟ้า/สิ่งแวดล้อม</t>
  </si>
  <si>
    <t>เจ้าพนักงานสถิติ</t>
  </si>
  <si>
    <t>นักวิชาการตรวจสอบภายใน</t>
  </si>
  <si>
    <t>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</si>
</sst>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EB4B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ECACA"/>
        <bgColor indexed="64"/>
      </patternFill>
    </fill>
    <fill>
      <patternFill patternType="solid">
        <fgColor rgb="FFBFFD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9E67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9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10" fillId="4" borderId="2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 applyProtection="1">
      <alignment horizontal="center" vertical="center" wrapText="1"/>
    </xf>
    <xf numFmtId="0" fontId="8" fillId="4" borderId="4" xfId="3" quotePrefix="1" applyFont="1" applyFill="1" applyBorder="1" applyAlignment="1" applyProtection="1">
      <alignment horizontal="center" vertical="center" wrapText="1"/>
    </xf>
    <xf numFmtId="0" fontId="8" fillId="4" borderId="4" xfId="3" quotePrefix="1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3" fontId="9" fillId="6" borderId="4" xfId="1" applyNumberFormat="1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187" fontId="9" fillId="6" borderId="4" xfId="1" applyNumberFormat="1" applyFont="1" applyFill="1" applyBorder="1" applyAlignment="1" applyProtection="1">
      <alignment horizontal="center" vertical="center"/>
    </xf>
    <xf numFmtId="3" fontId="9" fillId="6" borderId="4" xfId="0" applyNumberFormat="1" applyFont="1" applyFill="1" applyBorder="1" applyAlignment="1" applyProtection="1">
      <alignment horizontal="center" vertical="center"/>
    </xf>
    <xf numFmtId="3" fontId="9" fillId="7" borderId="4" xfId="0" applyNumberFormat="1" applyFont="1" applyFill="1" applyBorder="1" applyAlignment="1" applyProtection="1">
      <alignment horizontal="center" vertical="center"/>
    </xf>
    <xf numFmtId="3" fontId="9" fillId="9" borderId="4" xfId="0" applyNumberFormat="1" applyFont="1" applyFill="1" applyBorder="1" applyAlignment="1" applyProtection="1">
      <alignment horizontal="center" vertical="center"/>
      <protection locked="0"/>
    </xf>
    <xf numFmtId="187" fontId="9" fillId="6" borderId="4" xfId="0" applyNumberFormat="1" applyFont="1" applyFill="1" applyBorder="1" applyAlignment="1" applyProtection="1">
      <alignment horizontal="center" vertical="center"/>
    </xf>
    <xf numFmtId="187" fontId="9" fillId="9" borderId="4" xfId="1" applyNumberFormat="1" applyFont="1" applyFill="1" applyBorder="1" applyAlignment="1" applyProtection="1">
      <alignment horizontal="center" vertical="center"/>
      <protection locked="0"/>
    </xf>
    <xf numFmtId="187" fontId="9" fillId="6" borderId="4" xfId="1" applyNumberFormat="1" applyFont="1" applyFill="1" applyBorder="1" applyAlignment="1">
      <alignment horizontal="center" vertical="center"/>
    </xf>
    <xf numFmtId="43" fontId="9" fillId="6" borderId="4" xfId="1" applyNumberFormat="1" applyFont="1" applyFill="1" applyBorder="1" applyAlignment="1">
      <alignment horizontal="center" vertical="center"/>
    </xf>
    <xf numFmtId="187" fontId="9" fillId="6" borderId="4" xfId="0" applyNumberFormat="1" applyFont="1" applyFill="1" applyBorder="1" applyAlignment="1">
      <alignment horizontal="center" vertical="center"/>
    </xf>
    <xf numFmtId="2" fontId="9" fillId="6" borderId="4" xfId="2" applyNumberFormat="1" applyFont="1" applyFill="1" applyBorder="1" applyAlignment="1">
      <alignment horizontal="center" vertical="center"/>
    </xf>
    <xf numFmtId="0" fontId="4" fillId="10" borderId="0" xfId="0" applyFont="1" applyFill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</xf>
    <xf numFmtId="3" fontId="9" fillId="7" borderId="4" xfId="1" applyNumberFormat="1" applyFont="1" applyFill="1" applyBorder="1" applyAlignment="1" applyProtection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187" fontId="9" fillId="6" borderId="2" xfId="0" applyNumberFormat="1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188" fontId="9" fillId="6" borderId="10" xfId="0" applyNumberFormat="1" applyFont="1" applyFill="1" applyBorder="1" applyAlignment="1" applyProtection="1">
      <alignment horizontal="center" vertical="center"/>
    </xf>
    <xf numFmtId="3" fontId="9" fillId="7" borderId="7" xfId="0" applyNumberFormat="1" applyFont="1" applyFill="1" applyBorder="1" applyAlignment="1" applyProtection="1">
      <alignment horizontal="center" vertical="center"/>
    </xf>
    <xf numFmtId="43" fontId="9" fillId="6" borderId="2" xfId="0" applyNumberFormat="1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188" fontId="9" fillId="6" borderId="12" xfId="0" applyNumberFormat="1" applyFont="1" applyFill="1" applyBorder="1" applyAlignment="1" applyProtection="1">
      <alignment horizontal="center" vertical="center"/>
    </xf>
    <xf numFmtId="187" fontId="9" fillId="6" borderId="11" xfId="0" applyNumberFormat="1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187" fontId="9" fillId="6" borderId="11" xfId="0" quotePrefix="1" applyNumberFormat="1" applyFont="1" applyFill="1" applyBorder="1" applyAlignment="1" applyProtection="1">
      <alignment horizontal="center" vertical="center"/>
    </xf>
    <xf numFmtId="187" fontId="9" fillId="9" borderId="4" xfId="1" quotePrefix="1" applyNumberFormat="1" applyFont="1" applyFill="1" applyBorder="1" applyAlignment="1" applyProtection="1">
      <alignment horizontal="center" vertical="center"/>
      <protection locked="0"/>
    </xf>
    <xf numFmtId="3" fontId="9" fillId="6" borderId="2" xfId="0" applyNumberFormat="1" applyFont="1" applyFill="1" applyBorder="1" applyAlignment="1" applyProtection="1">
      <alignment horizontal="center" vertical="center"/>
    </xf>
    <xf numFmtId="187" fontId="9" fillId="9" borderId="7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</xf>
    <xf numFmtId="3" fontId="9" fillId="6" borderId="11" xfId="0" applyNumberFormat="1" applyFont="1" applyFill="1" applyBorder="1" applyAlignment="1" applyProtection="1">
      <alignment horizontal="center" vertical="center"/>
    </xf>
    <xf numFmtId="0" fontId="9" fillId="8" borderId="5" xfId="0" applyFont="1" applyFill="1" applyBorder="1" applyAlignment="1" applyProtection="1">
      <alignment horizontal="center" vertical="center"/>
    </xf>
    <xf numFmtId="187" fontId="9" fillId="6" borderId="10" xfId="0" applyNumberFormat="1" applyFont="1" applyFill="1" applyBorder="1" applyAlignment="1" applyProtection="1">
      <alignment horizontal="center" vertical="center"/>
    </xf>
    <xf numFmtId="187" fontId="9" fillId="6" borderId="12" xfId="0" applyNumberFormat="1" applyFont="1" applyFill="1" applyBorder="1" applyAlignment="1" applyProtection="1">
      <alignment horizontal="center" vertical="center"/>
    </xf>
    <xf numFmtId="187" fontId="9" fillId="6" borderId="13" xfId="0" applyNumberFormat="1" applyFont="1" applyFill="1" applyBorder="1" applyAlignment="1" applyProtection="1">
      <alignment horizontal="center" vertical="center"/>
    </xf>
    <xf numFmtId="187" fontId="9" fillId="6" borderId="8" xfId="0" applyNumberFormat="1" applyFont="1" applyFill="1" applyBorder="1" applyAlignment="1" applyProtection="1">
      <alignment horizontal="center" vertical="center"/>
    </xf>
    <xf numFmtId="3" fontId="9" fillId="6" borderId="8" xfId="0" applyNumberFormat="1" applyFont="1" applyFill="1" applyBorder="1" applyAlignment="1" applyProtection="1">
      <alignment horizontal="center" vertical="center"/>
    </xf>
    <xf numFmtId="187" fontId="9" fillId="9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3" fontId="4" fillId="11" borderId="0" xfId="0" applyNumberFormat="1" applyFont="1" applyFill="1" applyAlignment="1" applyProtection="1">
      <alignment horizontal="center" vertical="center"/>
    </xf>
    <xf numFmtId="3" fontId="4" fillId="12" borderId="0" xfId="0" applyNumberFormat="1" applyFont="1" applyFill="1" applyAlignment="1" applyProtection="1">
      <alignment horizontal="center" vertical="center"/>
    </xf>
    <xf numFmtId="3" fontId="4" fillId="13" borderId="0" xfId="0" applyNumberFormat="1" applyFont="1" applyFill="1" applyAlignment="1" applyProtection="1">
      <alignment horizontal="center" vertical="center"/>
    </xf>
    <xf numFmtId="187" fontId="4" fillId="0" borderId="0" xfId="0" applyNumberFormat="1" applyFont="1" applyFill="1" applyAlignment="1" applyProtection="1">
      <alignment horizontal="center" vertical="center"/>
    </xf>
    <xf numFmtId="187" fontId="4" fillId="12" borderId="0" xfId="0" applyNumberFormat="1" applyFont="1" applyFill="1" applyAlignment="1" applyProtection="1">
      <alignment horizontal="center" vertical="center"/>
    </xf>
    <xf numFmtId="187" fontId="4" fillId="13" borderId="0" xfId="0" applyNumberFormat="1" applyFont="1" applyFill="1" applyAlignment="1" applyProtection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12" fillId="0" borderId="0" xfId="0" applyFont="1"/>
    <xf numFmtId="0" fontId="6" fillId="12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left" vertical="center"/>
    </xf>
    <xf numFmtId="0" fontId="6" fillId="12" borderId="4" xfId="0" applyFont="1" applyFill="1" applyBorder="1"/>
    <xf numFmtId="0" fontId="6" fillId="13" borderId="4" xfId="0" applyFont="1" applyFill="1" applyBorder="1"/>
    <xf numFmtId="0" fontId="6" fillId="14" borderId="4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left" vertical="center" wrapText="1" readingOrder="1"/>
    </xf>
    <xf numFmtId="0" fontId="6" fillId="15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wrapText="1"/>
    </xf>
    <xf numFmtId="0" fontId="12" fillId="12" borderId="4" xfId="0" applyFont="1" applyFill="1" applyBorder="1"/>
    <xf numFmtId="0" fontId="12" fillId="13" borderId="4" xfId="0" applyFont="1" applyFill="1" applyBorder="1"/>
    <xf numFmtId="0" fontId="6" fillId="15" borderId="4" xfId="0" applyFont="1" applyFill="1" applyBorder="1"/>
    <xf numFmtId="187" fontId="9" fillId="6" borderId="2" xfId="0" applyNumberFormat="1" applyFont="1" applyFill="1" applyBorder="1" applyAlignment="1" applyProtection="1">
      <alignment horizontal="center" vertical="center"/>
    </xf>
    <xf numFmtId="187" fontId="9" fillId="6" borderId="8" xfId="0" applyNumberFormat="1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3" fontId="9" fillId="6" borderId="4" xfId="1" applyNumberFormat="1" applyFont="1" applyFill="1" applyBorder="1" applyAlignment="1" applyProtection="1">
      <alignment horizontal="center" vertical="center"/>
    </xf>
    <xf numFmtId="187" fontId="9" fillId="6" borderId="2" xfId="1" applyNumberFormat="1" applyFont="1" applyFill="1" applyBorder="1" applyAlignment="1" applyProtection="1">
      <alignment horizontal="center" vertical="center"/>
    </xf>
    <xf numFmtId="187" fontId="9" fillId="6" borderId="11" xfId="1" applyNumberFormat="1" applyFont="1" applyFill="1" applyBorder="1" applyAlignment="1" applyProtection="1">
      <alignment horizontal="center" vertical="center"/>
    </xf>
    <xf numFmtId="187" fontId="9" fillId="6" borderId="8" xfId="1" applyNumberFormat="1" applyFont="1" applyFill="1" applyBorder="1" applyAlignment="1" applyProtection="1">
      <alignment horizontal="center" vertical="center"/>
    </xf>
    <xf numFmtId="187" fontId="9" fillId="6" borderId="10" xfId="0" applyNumberFormat="1" applyFont="1" applyFill="1" applyBorder="1" applyAlignment="1" applyProtection="1">
      <alignment horizontal="center" vertical="center"/>
    </xf>
    <xf numFmtId="187" fontId="9" fillId="6" borderId="12" xfId="0" applyNumberFormat="1" applyFont="1" applyFill="1" applyBorder="1" applyAlignment="1" applyProtection="1">
      <alignment horizontal="center" vertical="center"/>
    </xf>
    <xf numFmtId="187" fontId="9" fillId="6" borderId="13" xfId="0" applyNumberFormat="1" applyFont="1" applyFill="1" applyBorder="1" applyAlignment="1" applyProtection="1">
      <alignment horizontal="center" vertical="center"/>
    </xf>
    <xf numFmtId="3" fontId="9" fillId="6" borderId="2" xfId="1" applyNumberFormat="1" applyFont="1" applyFill="1" applyBorder="1" applyAlignment="1" applyProtection="1">
      <alignment horizontal="center" vertical="center"/>
    </xf>
    <xf numFmtId="3" fontId="9" fillId="6" borderId="8" xfId="1" applyNumberFormat="1" applyFont="1" applyFill="1" applyBorder="1" applyAlignment="1" applyProtection="1">
      <alignment horizontal="center" vertical="center"/>
    </xf>
    <xf numFmtId="3" fontId="9" fillId="6" borderId="11" xfId="1" applyNumberFormat="1" applyFont="1" applyFill="1" applyBorder="1" applyAlignment="1" applyProtection="1">
      <alignment horizontal="center" vertical="center"/>
    </xf>
    <xf numFmtId="0" fontId="9" fillId="4" borderId="4" xfId="3" applyFont="1" applyFill="1" applyBorder="1" applyAlignment="1">
      <alignment horizontal="center" vertical="center" wrapText="1"/>
    </xf>
    <xf numFmtId="188" fontId="9" fillId="6" borderId="2" xfId="1" applyNumberFormat="1" applyFont="1" applyFill="1" applyBorder="1" applyAlignment="1" applyProtection="1">
      <alignment horizontal="center" vertical="center"/>
    </xf>
    <xf numFmtId="188" fontId="9" fillId="6" borderId="11" xfId="1" applyNumberFormat="1" applyFont="1" applyFill="1" applyBorder="1" applyAlignment="1" applyProtection="1">
      <alignment horizontal="center" vertical="center"/>
    </xf>
    <xf numFmtId="188" fontId="9" fillId="6" borderId="2" xfId="0" applyNumberFormat="1" applyFont="1" applyFill="1" applyBorder="1" applyAlignment="1" applyProtection="1">
      <alignment horizontal="center" vertical="center"/>
    </xf>
    <xf numFmtId="188" fontId="9" fillId="6" borderId="11" xfId="0" applyNumberFormat="1" applyFont="1" applyFill="1" applyBorder="1" applyAlignment="1" applyProtection="1">
      <alignment horizontal="center" vertical="center"/>
    </xf>
    <xf numFmtId="0" fontId="9" fillId="4" borderId="4" xfId="3" applyFont="1" applyFill="1" applyBorder="1" applyAlignment="1" applyProtection="1">
      <alignment horizontal="center" vertical="center" wrapText="1"/>
    </xf>
    <xf numFmtId="0" fontId="8" fillId="4" borderId="2" xfId="3" applyFont="1" applyFill="1" applyBorder="1" applyAlignment="1" applyProtection="1">
      <alignment horizontal="center" vertical="center" wrapText="1"/>
    </xf>
    <xf numFmtId="0" fontId="8" fillId="4" borderId="8" xfId="3" applyFont="1" applyFill="1" applyBorder="1" applyAlignment="1" applyProtection="1">
      <alignment horizontal="center" vertical="center" wrapText="1"/>
    </xf>
    <xf numFmtId="0" fontId="8" fillId="4" borderId="5" xfId="3" applyFont="1" applyFill="1" applyBorder="1" applyAlignment="1" applyProtection="1">
      <alignment horizontal="center" vertical="center" wrapText="1"/>
    </xf>
    <xf numFmtId="0" fontId="8" fillId="4" borderId="6" xfId="3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8" fillId="4" borderId="5" xfId="3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9" fillId="4" borderId="2" xfId="3" applyFont="1" applyFill="1" applyBorder="1" applyAlignment="1" applyProtection="1">
      <alignment horizontal="center" vertical="center" wrapText="1"/>
    </xf>
    <xf numFmtId="0" fontId="9" fillId="4" borderId="8" xfId="3" applyFont="1" applyFill="1" applyBorder="1" applyAlignment="1" applyProtection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 wrapText="1"/>
    </xf>
    <xf numFmtId="0" fontId="6" fillId="4" borderId="8" xfId="3" applyFont="1" applyFill="1" applyBorder="1" applyAlignment="1" applyProtection="1">
      <alignment horizontal="center" vertical="center" wrapText="1"/>
    </xf>
    <xf numFmtId="0" fontId="6" fillId="4" borderId="3" xfId="3" applyFont="1" applyFill="1" applyBorder="1" applyAlignment="1" applyProtection="1">
      <alignment horizontal="center" vertical="center" wrapText="1"/>
    </xf>
    <xf numFmtId="0" fontId="6" fillId="4" borderId="9" xfId="3" applyFont="1" applyFill="1" applyBorder="1" applyAlignment="1" applyProtection="1">
      <alignment horizontal="center" vertical="center" wrapText="1"/>
    </xf>
    <xf numFmtId="0" fontId="6" fillId="4" borderId="4" xfId="3" applyFont="1" applyFill="1" applyBorder="1" applyAlignment="1" applyProtection="1">
      <alignment horizontal="center" vertical="center" wrapText="1"/>
    </xf>
    <xf numFmtId="0" fontId="6" fillId="4" borderId="4" xfId="3" applyFont="1" applyFill="1" applyBorder="1" applyAlignment="1" applyProtection="1">
      <alignment horizontal="center" vertical="center"/>
    </xf>
    <xf numFmtId="0" fontId="7" fillId="4" borderId="5" xfId="3" applyFont="1" applyFill="1" applyBorder="1" applyAlignment="1" applyProtection="1">
      <alignment horizontal="center" vertical="center" wrapText="1"/>
    </xf>
    <xf numFmtId="0" fontId="7" fillId="4" borderId="6" xfId="3" applyFont="1" applyFill="1" applyBorder="1" applyAlignment="1" applyProtection="1">
      <alignment horizontal="center" vertical="center" wrapText="1"/>
    </xf>
    <xf numFmtId="0" fontId="7" fillId="4" borderId="7" xfId="3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7" fillId="4" borderId="8" xfId="3" applyFont="1" applyFill="1" applyBorder="1" applyAlignment="1" applyProtection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left" vertical="center"/>
    </xf>
    <xf numFmtId="0" fontId="6" fillId="14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านกลาง" xfId="3" builtinId="28"/>
    <cellStyle name="แย่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638175</xdr:colOff>
      <xdr:row>20</xdr:row>
      <xdr:rowOff>75738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96175" cy="3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38100</xdr:rowOff>
    </xdr:from>
    <xdr:to>
      <xdr:col>10</xdr:col>
      <xdr:colOff>638175</xdr:colOff>
      <xdr:row>45</xdr:row>
      <xdr:rowOff>161344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7600"/>
          <a:ext cx="7496175" cy="4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114300</xdr:rowOff>
    </xdr:from>
    <xdr:to>
      <xdr:col>10</xdr:col>
      <xdr:colOff>666750</xdr:colOff>
      <xdr:row>60</xdr:row>
      <xdr:rowOff>37770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58175"/>
          <a:ext cx="7524750" cy="263809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</xdr:row>
      <xdr:rowOff>180974</xdr:rowOff>
    </xdr:from>
    <xdr:to>
      <xdr:col>5</xdr:col>
      <xdr:colOff>285750</xdr:colOff>
      <xdr:row>26</xdr:row>
      <xdr:rowOff>9524</xdr:rowOff>
    </xdr:to>
    <xdr:sp macro="" textlink="">
      <xdr:nvSpPr>
        <xdr:cNvPr id="8" name="TextBox 2"/>
        <xdr:cNvSpPr txBox="1"/>
      </xdr:nvSpPr>
      <xdr:spPr>
        <a:xfrm>
          <a:off x="180975" y="3981449"/>
          <a:ext cx="35337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ลาออกเพื่อศึกษาต่อ ลาออกเนื่องจากสุขภาพไม่สมบูรณ์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190501</xdr:colOff>
      <xdr:row>33</xdr:row>
      <xdr:rowOff>180974</xdr:rowOff>
    </xdr:from>
    <xdr:to>
      <xdr:col>4</xdr:col>
      <xdr:colOff>361951</xdr:colOff>
      <xdr:row>41</xdr:row>
      <xdr:rowOff>57150</xdr:rowOff>
    </xdr:to>
    <xdr:sp macro="" textlink="">
      <xdr:nvSpPr>
        <xdr:cNvPr id="9" name="TextBox 5"/>
        <xdr:cNvSpPr txBox="1"/>
      </xdr:nvSpPr>
      <xdr:spPr>
        <a:xfrm>
          <a:off x="190501" y="6153149"/>
          <a:ext cx="2914650" cy="1323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รวมจำนวนผู้ที่ได้รับเงินสนับสนุนการศึกษาและต้องกลับมาปฏิบัติงานให้หน่วยงานในเขตที่รับผิดชอบ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161925</xdr:colOff>
      <xdr:row>16</xdr:row>
      <xdr:rowOff>85725</xdr:rowOff>
    </xdr:from>
    <xdr:to>
      <xdr:col>7</xdr:col>
      <xdr:colOff>114300</xdr:colOff>
      <xdr:row>19</xdr:row>
      <xdr:rowOff>10795</xdr:rowOff>
    </xdr:to>
    <xdr:sp macro="" textlink="">
      <xdr:nvSpPr>
        <xdr:cNvPr id="11" name="Text Box 1"/>
        <xdr:cNvSpPr txBox="1"/>
      </xdr:nvSpPr>
      <xdr:spPr>
        <a:xfrm>
          <a:off x="4276725" y="2981325"/>
          <a:ext cx="638175" cy="467995"/>
        </a:xfrm>
        <a:prstGeom prst="rect">
          <a:avLst/>
        </a:prstGeom>
        <a:solidFill>
          <a:schemeClr val="lt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หน่วยงาน</a:t>
          </a:r>
          <a:endParaRPr lang="en-US" sz="105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68</xdr:row>
      <xdr:rowOff>47625</xdr:rowOff>
    </xdr:from>
    <xdr:to>
      <xdr:col>14</xdr:col>
      <xdr:colOff>28575</xdr:colOff>
      <xdr:row>69</xdr:row>
      <xdr:rowOff>0</xdr:rowOff>
    </xdr:to>
    <xdr:sp macro="" textlink="">
      <xdr:nvSpPr>
        <xdr:cNvPr id="4" name="Rectangle 3"/>
        <xdr:cNvSpPr/>
      </xdr:nvSpPr>
      <xdr:spPr>
        <a:xfrm>
          <a:off x="352425" y="19421475"/>
          <a:ext cx="6715125" cy="2190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409575</xdr:colOff>
      <xdr:row>72</xdr:row>
      <xdr:rowOff>0</xdr:rowOff>
    </xdr:from>
    <xdr:to>
      <xdr:col>13</xdr:col>
      <xdr:colOff>304800</xdr:colOff>
      <xdr:row>73</xdr:row>
      <xdr:rowOff>0</xdr:rowOff>
    </xdr:to>
    <xdr:sp macro="" textlink="">
      <xdr:nvSpPr>
        <xdr:cNvPr id="5" name="Rectangle 4"/>
        <xdr:cNvSpPr/>
      </xdr:nvSpPr>
      <xdr:spPr>
        <a:xfrm>
          <a:off x="342900" y="20440650"/>
          <a:ext cx="66865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0</xdr:colOff>
      <xdr:row>66</xdr:row>
      <xdr:rowOff>0</xdr:rowOff>
    </xdr:from>
    <xdr:to>
      <xdr:col>14</xdr:col>
      <xdr:colOff>38100</xdr:colOff>
      <xdr:row>74</xdr:row>
      <xdr:rowOff>257175</xdr:rowOff>
    </xdr:to>
    <xdr:sp macro="" textlink="">
      <xdr:nvSpPr>
        <xdr:cNvPr id="6" name="สี่เหลี่ยมผืนผ้า 2"/>
        <xdr:cNvSpPr/>
      </xdr:nvSpPr>
      <xdr:spPr>
        <a:xfrm>
          <a:off x="342900" y="18840450"/>
          <a:ext cx="6734175" cy="2390775"/>
        </a:xfrm>
        <a:prstGeom prst="rect">
          <a:avLst/>
        </a:prstGeom>
        <a:noFill/>
        <a:ln>
          <a:solidFill>
            <a:schemeClr val="bg1"/>
          </a:solidFill>
        </a:ln>
      </xdr:spPr>
      <xdr:txBody>
        <a:bodyPr wrap="square">
          <a:no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:</a:t>
          </a:r>
          <a:r>
            <a:rPr lang="en-US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en-US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หลักการกำหนดสายงานหลัก สายงานสนับสนุนของสำนักงานปลัดกระทรวงสาธารณสุข</a:t>
          </a:r>
        </a:p>
        <a:p>
          <a:r>
            <a:rPr lang="th-TH" sz="1800" b="1" spc="-100">
              <a:latin typeface="TH SarabunPSK" panose="020B0500040200020003" pitchFamily="34" charset="-34"/>
              <a:cs typeface="TH SarabunPSK" panose="020B0500040200020003" pitchFamily="34" charset="-34"/>
            </a:rPr>
            <a:t>สายงานหลัก </a:t>
          </a:r>
          <a:endParaRPr lang="en-US" sz="1800" b="1" spc="-1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spc="-10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ผู้ปฏิบัติหน้าที่ ที่เกี่ยวข้องต่อมนุษย์และสิ่งแวดล้อม เกี่ยวกับการส่งเสริมสุขภาพ การป้องกันโรค การควบคุมโรค</a:t>
          </a:r>
          <a:r>
            <a:rPr lang="th-TH" sz="1800" b="0" spc="-1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0" spc="-100">
              <a:latin typeface="TH SarabunPSK" panose="020B0500040200020003" pitchFamily="34" charset="-34"/>
              <a:cs typeface="TH SarabunPSK" panose="020B0500040200020003" pitchFamily="34" charset="-34"/>
            </a:rPr>
            <a:t>การประเมินและการบำบัดโรค การดูแลให้ความช่วยเหลือผู้ป่วย การฟื้นฟูสภาพ การอาชีวอนามัยและอนามัยสิ่งแวดล้อม เพื่อลดความเสี่ยงจากการเจ็บป่วย การบรรเทาและการรักษาจากการเจ็บป่วยโดยนำหลักวิทยาศาสตร์มาประยุกต์ใช้</a:t>
          </a:r>
        </a:p>
        <a:p>
          <a:r>
            <a:rPr lang="th-TH" sz="1800" b="1" spc="-1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สายงานสนับสนุน</a:t>
          </a:r>
          <a:endParaRPr lang="en-US" sz="1800" b="1" spc="-1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spc="-1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ผู้ปฏิบัติงานด้านการบริหารจัดการในหน้าที่สายสนับสนุนบริการ ที่ไม่เกี่ยวข้องกับการกระทำต่อมนุษย์ ปฏิบัติงานเกี่ยวกับงานบริหารจัดการ การสนับสนุนการให้บริการหน่วยงาน</a:t>
          </a:r>
        </a:p>
        <a:p>
          <a:endParaRPr lang="th-TH" sz="1800" b="0" spc="-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649;&#3629;&#3609;/Desktop/&#3648;&#3605;&#3619;&#3637;&#3618;&#3617;&#3611;&#3619;&#3632;&#3594;&#3640;&#3617;%20&#3610;&#3619;&#3636;&#3627;&#3634;&#3619;&#3605;&#3635;&#3649;&#3627;&#3609;&#3656;&#3591;&#3623;&#3656;&#3634;&#3591;/&#3586;&#3657;&#3629;&#3617;&#3641;&#3621;&#3585;&#3634;&#3619;&#3592;&#3633;&#3604;&#3607;&#3635;&#3649;&#3612;&#3609;&#3585;&#3635;&#3621;&#3633;&#3591;&#3588;&#3609;&#3586;&#3629;&#3591;&#3648;&#3586;&#3605;&#3626;&#3640;&#3586;&#3616;&#3634;&#36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วิธีการกรอกข้อมูล"/>
      <sheetName val="เกษียณ"/>
      <sheetName val="ตัวอย่างแผนกำลังคน"/>
      <sheetName val="ข้อมูลเกษียณ"/>
      <sheetName val="กรอบ "/>
      <sheetName val="ตำแหน่ง"/>
      <sheetName val="คนจริง"/>
      <sheetName val="กรอบ_ตำแหน่ง_คน"/>
      <sheetName val="รพศ นครพิงค์"/>
    </sheetNames>
    <sheetDataSet>
      <sheetData sheetId="0"/>
      <sheetData sheetId="1">
        <row r="4">
          <cell r="B4">
            <v>1</v>
          </cell>
          <cell r="C4">
            <v>8</v>
          </cell>
          <cell r="D4">
            <v>13</v>
          </cell>
          <cell r="E4">
            <v>15</v>
          </cell>
          <cell r="F4">
            <v>20</v>
          </cell>
          <cell r="G4">
            <v>16</v>
          </cell>
          <cell r="H4">
            <v>3</v>
          </cell>
          <cell r="I4">
            <v>2</v>
          </cell>
          <cell r="J4">
            <v>3</v>
          </cell>
          <cell r="K4">
            <v>1</v>
          </cell>
          <cell r="L4">
            <v>1</v>
          </cell>
          <cell r="M4">
            <v>1</v>
          </cell>
          <cell r="N4">
            <v>4</v>
          </cell>
          <cell r="O4">
            <v>6</v>
          </cell>
          <cell r="P4">
            <v>2</v>
          </cell>
          <cell r="Q4">
            <v>6</v>
          </cell>
          <cell r="R4">
            <v>87</v>
          </cell>
          <cell r="S4">
            <v>105</v>
          </cell>
          <cell r="T4">
            <v>127</v>
          </cell>
          <cell r="U4">
            <v>143</v>
          </cell>
          <cell r="V4">
            <v>187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</v>
          </cell>
          <cell r="AB4">
            <v>0</v>
          </cell>
          <cell r="AC4">
            <v>2</v>
          </cell>
          <cell r="AD4">
            <v>2</v>
          </cell>
          <cell r="AE4">
            <v>3</v>
          </cell>
          <cell r="AF4">
            <v>3</v>
          </cell>
          <cell r="AG4">
            <v>1</v>
          </cell>
          <cell r="AH4">
            <v>0</v>
          </cell>
          <cell r="AI4">
            <v>1</v>
          </cell>
          <cell r="AJ4">
            <v>2</v>
          </cell>
          <cell r="AK4">
            <v>0</v>
          </cell>
          <cell r="AL4">
            <v>6</v>
          </cell>
          <cell r="AM4">
            <v>8</v>
          </cell>
          <cell r="AN4">
            <v>14</v>
          </cell>
          <cell r="AO4">
            <v>12</v>
          </cell>
          <cell r="AP4">
            <v>10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3</v>
          </cell>
          <cell r="AW4">
            <v>2</v>
          </cell>
          <cell r="AX4">
            <v>1</v>
          </cell>
          <cell r="AY4">
            <v>0</v>
          </cell>
          <cell r="AZ4">
            <v>3</v>
          </cell>
          <cell r="BA4">
            <v>0</v>
          </cell>
          <cell r="BB4">
            <v>2</v>
          </cell>
          <cell r="BC4">
            <v>4</v>
          </cell>
          <cell r="BD4">
            <v>1</v>
          </cell>
          <cell r="BE4">
            <v>3</v>
          </cell>
          <cell r="BF4">
            <v>3</v>
          </cell>
          <cell r="BG4">
            <v>6</v>
          </cell>
          <cell r="BH4">
            <v>1</v>
          </cell>
          <cell r="BI4">
            <v>1</v>
          </cell>
          <cell r="BJ4">
            <v>3</v>
          </cell>
          <cell r="BK4">
            <v>8</v>
          </cell>
          <cell r="BL4">
            <v>11</v>
          </cell>
          <cell r="BM4">
            <v>14</v>
          </cell>
          <cell r="BN4">
            <v>22</v>
          </cell>
          <cell r="BO4">
            <v>14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5</v>
          </cell>
          <cell r="BV4">
            <v>3</v>
          </cell>
          <cell r="BW4">
            <v>10</v>
          </cell>
          <cell r="BX4">
            <v>6</v>
          </cell>
          <cell r="BY4">
            <v>4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1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2</v>
          </cell>
          <cell r="CX4">
            <v>0</v>
          </cell>
          <cell r="CY4">
            <v>41</v>
          </cell>
          <cell r="CZ4">
            <v>62</v>
          </cell>
          <cell r="DA4">
            <v>75</v>
          </cell>
          <cell r="DB4">
            <v>85</v>
          </cell>
          <cell r="DC4">
            <v>103</v>
          </cell>
          <cell r="DD4">
            <v>25</v>
          </cell>
          <cell r="DE4">
            <v>37</v>
          </cell>
          <cell r="DF4">
            <v>32</v>
          </cell>
          <cell r="DG4">
            <v>47</v>
          </cell>
          <cell r="DH4">
            <v>45</v>
          </cell>
          <cell r="DI4">
            <v>0</v>
          </cell>
          <cell r="DJ4">
            <v>0</v>
          </cell>
          <cell r="DK4">
            <v>2</v>
          </cell>
          <cell r="DL4">
            <v>1</v>
          </cell>
          <cell r="DM4">
            <v>1</v>
          </cell>
          <cell r="DN4">
            <v>1</v>
          </cell>
          <cell r="DO4">
            <v>0</v>
          </cell>
          <cell r="DP4">
            <v>1</v>
          </cell>
          <cell r="DQ4">
            <v>2</v>
          </cell>
          <cell r="DR4">
            <v>1</v>
          </cell>
          <cell r="DS4">
            <v>0</v>
          </cell>
          <cell r="DT4">
            <v>1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</v>
          </cell>
          <cell r="EC4">
            <v>0</v>
          </cell>
          <cell r="ED4">
            <v>1</v>
          </cell>
          <cell r="EE4">
            <v>0</v>
          </cell>
          <cell r="EF4">
            <v>2</v>
          </cell>
          <cell r="EG4">
            <v>2</v>
          </cell>
          <cell r="EH4">
            <v>1</v>
          </cell>
          <cell r="EI4">
            <v>0</v>
          </cell>
          <cell r="EJ4">
            <v>1</v>
          </cell>
          <cell r="EK4">
            <v>2</v>
          </cell>
          <cell r="EL4">
            <v>1</v>
          </cell>
          <cell r="EM4">
            <v>1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1</v>
          </cell>
          <cell r="ET4">
            <v>1</v>
          </cell>
          <cell r="EU4">
            <v>0</v>
          </cell>
          <cell r="EV4">
            <v>0</v>
          </cell>
        </row>
        <row r="5">
          <cell r="B5">
            <v>2</v>
          </cell>
          <cell r="C5">
            <v>11</v>
          </cell>
          <cell r="D5">
            <v>4</v>
          </cell>
          <cell r="E5">
            <v>9</v>
          </cell>
          <cell r="F5">
            <v>9</v>
          </cell>
          <cell r="G5">
            <v>12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2</v>
          </cell>
          <cell r="N5">
            <v>2</v>
          </cell>
          <cell r="O5">
            <v>0</v>
          </cell>
          <cell r="P5">
            <v>0</v>
          </cell>
          <cell r="Q5">
            <v>4</v>
          </cell>
          <cell r="R5">
            <v>67</v>
          </cell>
          <cell r="S5">
            <v>71</v>
          </cell>
          <cell r="T5">
            <v>83</v>
          </cell>
          <cell r="U5">
            <v>105</v>
          </cell>
          <cell r="V5">
            <v>112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1</v>
          </cell>
          <cell r="AC5">
            <v>0</v>
          </cell>
          <cell r="AD5">
            <v>0</v>
          </cell>
          <cell r="AE5">
            <v>1</v>
          </cell>
          <cell r="AF5">
            <v>4</v>
          </cell>
          <cell r="AG5">
            <v>0</v>
          </cell>
          <cell r="AH5">
            <v>0</v>
          </cell>
          <cell r="AI5">
            <v>0</v>
          </cell>
          <cell r="AJ5">
            <v>2</v>
          </cell>
          <cell r="AK5">
            <v>0</v>
          </cell>
          <cell r="AL5">
            <v>3</v>
          </cell>
          <cell r="AM5">
            <v>8</v>
          </cell>
          <cell r="AN5">
            <v>7</v>
          </cell>
          <cell r="AO5">
            <v>10</v>
          </cell>
          <cell r="AP5">
            <v>4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1</v>
          </cell>
          <cell r="AW5">
            <v>0</v>
          </cell>
          <cell r="AX5">
            <v>3</v>
          </cell>
          <cell r="AY5">
            <v>2</v>
          </cell>
          <cell r="AZ5">
            <v>2</v>
          </cell>
          <cell r="BA5">
            <v>0</v>
          </cell>
          <cell r="BB5">
            <v>2</v>
          </cell>
          <cell r="BC5">
            <v>1</v>
          </cell>
          <cell r="BD5">
            <v>3</v>
          </cell>
          <cell r="BE5">
            <v>1</v>
          </cell>
          <cell r="BF5">
            <v>2</v>
          </cell>
          <cell r="BG5">
            <v>2</v>
          </cell>
          <cell r="BH5">
            <v>2</v>
          </cell>
          <cell r="BI5">
            <v>1</v>
          </cell>
          <cell r="BJ5">
            <v>2</v>
          </cell>
          <cell r="BK5">
            <v>5</v>
          </cell>
          <cell r="BL5">
            <v>7</v>
          </cell>
          <cell r="BM5">
            <v>6</v>
          </cell>
          <cell r="BN5">
            <v>6</v>
          </cell>
          <cell r="BO5">
            <v>8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7</v>
          </cell>
          <cell r="BV5">
            <v>4</v>
          </cell>
          <cell r="BW5">
            <v>5</v>
          </cell>
          <cell r="BX5">
            <v>3</v>
          </cell>
          <cell r="BY5">
            <v>3</v>
          </cell>
          <cell r="BZ5">
            <v>0</v>
          </cell>
          <cell r="CA5">
            <v>1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2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1</v>
          </cell>
          <cell r="CY5">
            <v>16</v>
          </cell>
          <cell r="CZ5">
            <v>26</v>
          </cell>
          <cell r="DA5">
            <v>31</v>
          </cell>
          <cell r="DB5">
            <v>55</v>
          </cell>
          <cell r="DC5">
            <v>48</v>
          </cell>
          <cell r="DD5">
            <v>4</v>
          </cell>
          <cell r="DE5">
            <v>15</v>
          </cell>
          <cell r="DF5">
            <v>29</v>
          </cell>
          <cell r="DG5">
            <v>16</v>
          </cell>
          <cell r="DH5">
            <v>21</v>
          </cell>
          <cell r="DI5">
            <v>1</v>
          </cell>
          <cell r="DJ5">
            <v>0</v>
          </cell>
          <cell r="DK5">
            <v>1</v>
          </cell>
          <cell r="DL5">
            <v>2</v>
          </cell>
          <cell r="DM5">
            <v>2</v>
          </cell>
          <cell r="DN5">
            <v>0</v>
          </cell>
          <cell r="DO5">
            <v>0</v>
          </cell>
          <cell r="DP5">
            <v>0</v>
          </cell>
          <cell r="DQ5">
            <v>2</v>
          </cell>
          <cell r="DR5">
            <v>1</v>
          </cell>
          <cell r="DS5">
            <v>2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1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</row>
        <row r="6">
          <cell r="B6">
            <v>3</v>
          </cell>
          <cell r="C6">
            <v>7</v>
          </cell>
          <cell r="D6">
            <v>8</v>
          </cell>
          <cell r="E6">
            <v>10</v>
          </cell>
          <cell r="F6">
            <v>4</v>
          </cell>
          <cell r="G6">
            <v>8</v>
          </cell>
          <cell r="H6">
            <v>0</v>
          </cell>
          <cell r="I6">
            <v>3</v>
          </cell>
          <cell r="J6">
            <v>1</v>
          </cell>
          <cell r="K6">
            <v>1</v>
          </cell>
          <cell r="L6">
            <v>0</v>
          </cell>
          <cell r="M6">
            <v>1</v>
          </cell>
          <cell r="N6">
            <v>1</v>
          </cell>
          <cell r="O6">
            <v>2</v>
          </cell>
          <cell r="P6">
            <v>1</v>
          </cell>
          <cell r="Q6">
            <v>0</v>
          </cell>
          <cell r="R6">
            <v>41</v>
          </cell>
          <cell r="S6">
            <v>54</v>
          </cell>
          <cell r="T6">
            <v>53</v>
          </cell>
          <cell r="U6">
            <v>97</v>
          </cell>
          <cell r="V6">
            <v>101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2</v>
          </cell>
          <cell r="AC6">
            <v>1</v>
          </cell>
          <cell r="AD6">
            <v>0</v>
          </cell>
          <cell r="AE6">
            <v>3</v>
          </cell>
          <cell r="AF6">
            <v>1</v>
          </cell>
          <cell r="AG6">
            <v>0</v>
          </cell>
          <cell r="AH6">
            <v>0</v>
          </cell>
          <cell r="AI6">
            <v>0</v>
          </cell>
          <cell r="AJ6">
            <v>1</v>
          </cell>
          <cell r="AK6">
            <v>0</v>
          </cell>
          <cell r="AL6">
            <v>4</v>
          </cell>
          <cell r="AM6">
            <v>1</v>
          </cell>
          <cell r="AN6">
            <v>2</v>
          </cell>
          <cell r="AO6">
            <v>4</v>
          </cell>
          <cell r="AP6">
            <v>2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2</v>
          </cell>
          <cell r="AW6">
            <v>1</v>
          </cell>
          <cell r="AX6">
            <v>0</v>
          </cell>
          <cell r="AY6">
            <v>1</v>
          </cell>
          <cell r="AZ6">
            <v>2</v>
          </cell>
          <cell r="BA6">
            <v>0</v>
          </cell>
          <cell r="BB6">
            <v>0</v>
          </cell>
          <cell r="BC6">
            <v>2</v>
          </cell>
          <cell r="BD6">
            <v>0</v>
          </cell>
          <cell r="BE6">
            <v>1</v>
          </cell>
          <cell r="BF6">
            <v>1</v>
          </cell>
          <cell r="BG6">
            <v>0</v>
          </cell>
          <cell r="BH6">
            <v>1</v>
          </cell>
          <cell r="BI6">
            <v>1</v>
          </cell>
          <cell r="BJ6">
            <v>0</v>
          </cell>
          <cell r="BK6">
            <v>3</v>
          </cell>
          <cell r="BL6">
            <v>4</v>
          </cell>
          <cell r="BM6">
            <v>11</v>
          </cell>
          <cell r="BN6">
            <v>10</v>
          </cell>
          <cell r="BO6">
            <v>12</v>
          </cell>
          <cell r="BP6">
            <v>1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1</v>
          </cell>
          <cell r="BV6">
            <v>6</v>
          </cell>
          <cell r="BW6">
            <v>4</v>
          </cell>
          <cell r="BX6">
            <v>3</v>
          </cell>
          <cell r="BY6">
            <v>2</v>
          </cell>
          <cell r="BZ6">
            <v>0</v>
          </cell>
          <cell r="CA6">
            <v>1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1</v>
          </cell>
          <cell r="CS6">
            <v>1</v>
          </cell>
          <cell r="CT6">
            <v>0</v>
          </cell>
          <cell r="CU6">
            <v>0</v>
          </cell>
          <cell r="CV6">
            <v>0</v>
          </cell>
          <cell r="CW6">
            <v>1</v>
          </cell>
          <cell r="CX6">
            <v>0</v>
          </cell>
          <cell r="CY6">
            <v>16</v>
          </cell>
          <cell r="CZ6">
            <v>25</v>
          </cell>
          <cell r="DA6">
            <v>40</v>
          </cell>
          <cell r="DB6">
            <v>43</v>
          </cell>
          <cell r="DC6">
            <v>60</v>
          </cell>
          <cell r="DD6">
            <v>17</v>
          </cell>
          <cell r="DE6">
            <v>21</v>
          </cell>
          <cell r="DF6">
            <v>22</v>
          </cell>
          <cell r="DG6">
            <v>11</v>
          </cell>
          <cell r="DH6">
            <v>10</v>
          </cell>
          <cell r="DI6">
            <v>0</v>
          </cell>
          <cell r="DJ6">
            <v>0</v>
          </cell>
          <cell r="DK6">
            <v>0</v>
          </cell>
          <cell r="DL6">
            <v>1</v>
          </cell>
          <cell r="DM6">
            <v>3</v>
          </cell>
          <cell r="DN6">
            <v>0</v>
          </cell>
          <cell r="DO6">
            <v>0</v>
          </cell>
          <cell r="DP6">
            <v>1</v>
          </cell>
          <cell r="DQ6">
            <v>0</v>
          </cell>
          <cell r="DR6">
            <v>1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1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1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2</v>
          </cell>
          <cell r="ES6">
            <v>0</v>
          </cell>
          <cell r="ET6">
            <v>1</v>
          </cell>
          <cell r="EU6">
            <v>1</v>
          </cell>
          <cell r="EV6">
            <v>0</v>
          </cell>
        </row>
        <row r="7">
          <cell r="B7">
            <v>4</v>
          </cell>
          <cell r="C7">
            <v>14</v>
          </cell>
          <cell r="D7">
            <v>12</v>
          </cell>
          <cell r="E7">
            <v>15</v>
          </cell>
          <cell r="F7">
            <v>12</v>
          </cell>
          <cell r="G7">
            <v>11</v>
          </cell>
          <cell r="H7">
            <v>0</v>
          </cell>
          <cell r="I7">
            <v>0</v>
          </cell>
          <cell r="J7">
            <v>1</v>
          </cell>
          <cell r="K7">
            <v>4</v>
          </cell>
          <cell r="L7">
            <v>3</v>
          </cell>
          <cell r="M7">
            <v>2</v>
          </cell>
          <cell r="N7">
            <v>2</v>
          </cell>
          <cell r="O7">
            <v>5</v>
          </cell>
          <cell r="P7">
            <v>1</v>
          </cell>
          <cell r="Q7">
            <v>3</v>
          </cell>
          <cell r="R7">
            <v>86</v>
          </cell>
          <cell r="S7">
            <v>114</v>
          </cell>
          <cell r="T7">
            <v>126</v>
          </cell>
          <cell r="U7">
            <v>138</v>
          </cell>
          <cell r="V7">
            <v>204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</v>
          </cell>
          <cell r="AC7">
            <v>0</v>
          </cell>
          <cell r="AD7">
            <v>2</v>
          </cell>
          <cell r="AE7">
            <v>2</v>
          </cell>
          <cell r="AF7">
            <v>4</v>
          </cell>
          <cell r="AG7">
            <v>0</v>
          </cell>
          <cell r="AH7">
            <v>1</v>
          </cell>
          <cell r="AI7">
            <v>1</v>
          </cell>
          <cell r="AJ7">
            <v>2</v>
          </cell>
          <cell r="AK7">
            <v>1</v>
          </cell>
          <cell r="AL7">
            <v>6</v>
          </cell>
          <cell r="AM7">
            <v>2</v>
          </cell>
          <cell r="AN7">
            <v>12</v>
          </cell>
          <cell r="AO7">
            <v>11</v>
          </cell>
          <cell r="AP7">
            <v>7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3</v>
          </cell>
          <cell r="AX7">
            <v>3</v>
          </cell>
          <cell r="AY7">
            <v>4</v>
          </cell>
          <cell r="AZ7">
            <v>1</v>
          </cell>
          <cell r="BA7">
            <v>1</v>
          </cell>
          <cell r="BB7">
            <v>2</v>
          </cell>
          <cell r="BC7">
            <v>5</v>
          </cell>
          <cell r="BD7">
            <v>1</v>
          </cell>
          <cell r="BE7">
            <v>1</v>
          </cell>
          <cell r="BF7">
            <v>2</v>
          </cell>
          <cell r="BG7">
            <v>2</v>
          </cell>
          <cell r="BH7">
            <v>1</v>
          </cell>
          <cell r="BI7">
            <v>2</v>
          </cell>
          <cell r="BJ7">
            <v>0</v>
          </cell>
          <cell r="BK7">
            <v>9</v>
          </cell>
          <cell r="BL7">
            <v>11</v>
          </cell>
          <cell r="BM7">
            <v>16</v>
          </cell>
          <cell r="BN7">
            <v>12</v>
          </cell>
          <cell r="BO7">
            <v>10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1</v>
          </cell>
          <cell r="BU7">
            <v>7</v>
          </cell>
          <cell r="BV7">
            <v>6</v>
          </cell>
          <cell r="BW7">
            <v>8</v>
          </cell>
          <cell r="BX7">
            <v>7</v>
          </cell>
          <cell r="BY7">
            <v>6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1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1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23</v>
          </cell>
          <cell r="CZ7">
            <v>47</v>
          </cell>
          <cell r="DA7">
            <v>53</v>
          </cell>
          <cell r="DB7">
            <v>77</v>
          </cell>
          <cell r="DC7">
            <v>79</v>
          </cell>
          <cell r="DD7">
            <v>10</v>
          </cell>
          <cell r="DE7">
            <v>21</v>
          </cell>
          <cell r="DF7">
            <v>23</v>
          </cell>
          <cell r="DG7">
            <v>32</v>
          </cell>
          <cell r="DH7">
            <v>28</v>
          </cell>
          <cell r="DI7">
            <v>1</v>
          </cell>
          <cell r="DJ7">
            <v>0</v>
          </cell>
          <cell r="DK7">
            <v>1</v>
          </cell>
          <cell r="DL7">
            <v>2</v>
          </cell>
          <cell r="DM7">
            <v>0</v>
          </cell>
          <cell r="DN7">
            <v>2</v>
          </cell>
          <cell r="DO7">
            <v>1</v>
          </cell>
          <cell r="DP7">
            <v>1</v>
          </cell>
          <cell r="DQ7">
            <v>1</v>
          </cell>
          <cell r="DR7">
            <v>4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1</v>
          </cell>
          <cell r="EE7">
            <v>2</v>
          </cell>
          <cell r="EF7">
            <v>2</v>
          </cell>
          <cell r="EG7">
            <v>1</v>
          </cell>
          <cell r="EH7">
            <v>1</v>
          </cell>
          <cell r="EI7">
            <v>1</v>
          </cell>
          <cell r="EJ7">
            <v>1</v>
          </cell>
          <cell r="EK7">
            <v>0</v>
          </cell>
          <cell r="EL7">
            <v>2</v>
          </cell>
          <cell r="EM7">
            <v>0</v>
          </cell>
          <cell r="EN7">
            <v>1</v>
          </cell>
          <cell r="EO7">
            <v>0</v>
          </cell>
          <cell r="EP7">
            <v>1</v>
          </cell>
          <cell r="EQ7">
            <v>0</v>
          </cell>
          <cell r="ER7">
            <v>0</v>
          </cell>
          <cell r="ES7">
            <v>0</v>
          </cell>
          <cell r="ET7">
            <v>2</v>
          </cell>
          <cell r="EU7">
            <v>0</v>
          </cell>
          <cell r="EV7">
            <v>0</v>
          </cell>
        </row>
        <row r="8">
          <cell r="B8">
            <v>5</v>
          </cell>
          <cell r="C8">
            <v>16</v>
          </cell>
          <cell r="D8">
            <v>19</v>
          </cell>
          <cell r="E8">
            <v>24</v>
          </cell>
          <cell r="F8">
            <v>9</v>
          </cell>
          <cell r="G8">
            <v>18</v>
          </cell>
          <cell r="H8">
            <v>4</v>
          </cell>
          <cell r="I8">
            <v>1</v>
          </cell>
          <cell r="J8">
            <v>4</v>
          </cell>
          <cell r="K8">
            <v>0</v>
          </cell>
          <cell r="L8">
            <v>3</v>
          </cell>
          <cell r="M8">
            <v>5</v>
          </cell>
          <cell r="N8">
            <v>1</v>
          </cell>
          <cell r="O8">
            <v>6</v>
          </cell>
          <cell r="P8">
            <v>3</v>
          </cell>
          <cell r="Q8">
            <v>4</v>
          </cell>
          <cell r="R8">
            <v>98</v>
          </cell>
          <cell r="S8">
            <v>126</v>
          </cell>
          <cell r="T8">
            <v>141</v>
          </cell>
          <cell r="U8">
            <v>166</v>
          </cell>
          <cell r="V8">
            <v>239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  <cell r="AG8">
            <v>0</v>
          </cell>
          <cell r="AH8">
            <v>2</v>
          </cell>
          <cell r="AI8">
            <v>1</v>
          </cell>
          <cell r="AJ8">
            <v>4</v>
          </cell>
          <cell r="AK8">
            <v>2</v>
          </cell>
          <cell r="AL8">
            <v>3</v>
          </cell>
          <cell r="AM8">
            <v>9</v>
          </cell>
          <cell r="AN8">
            <v>11</v>
          </cell>
          <cell r="AO8">
            <v>17</v>
          </cell>
          <cell r="AP8">
            <v>6</v>
          </cell>
          <cell r="AQ8">
            <v>2</v>
          </cell>
          <cell r="AR8">
            <v>0</v>
          </cell>
          <cell r="AS8">
            <v>0</v>
          </cell>
          <cell r="AT8">
            <v>0</v>
          </cell>
          <cell r="AU8">
            <v>1</v>
          </cell>
          <cell r="AV8">
            <v>2</v>
          </cell>
          <cell r="AW8">
            <v>0</v>
          </cell>
          <cell r="AX8">
            <v>3</v>
          </cell>
          <cell r="AY8">
            <v>2</v>
          </cell>
          <cell r="AZ8">
            <v>3</v>
          </cell>
          <cell r="BA8">
            <v>2</v>
          </cell>
          <cell r="BB8">
            <v>4</v>
          </cell>
          <cell r="BC8">
            <v>4</v>
          </cell>
          <cell r="BD8">
            <v>3</v>
          </cell>
          <cell r="BE8">
            <v>4</v>
          </cell>
          <cell r="BF8">
            <v>2</v>
          </cell>
          <cell r="BG8">
            <v>5</v>
          </cell>
          <cell r="BH8">
            <v>1</v>
          </cell>
          <cell r="BI8">
            <v>1</v>
          </cell>
          <cell r="BJ8">
            <v>1</v>
          </cell>
          <cell r="BK8">
            <v>5</v>
          </cell>
          <cell r="BL8">
            <v>11</v>
          </cell>
          <cell r="BM8">
            <v>12</v>
          </cell>
          <cell r="BN8">
            <v>19</v>
          </cell>
          <cell r="BO8">
            <v>14</v>
          </cell>
          <cell r="BP8">
            <v>0</v>
          </cell>
          <cell r="BQ8">
            <v>0</v>
          </cell>
          <cell r="BR8">
            <v>1</v>
          </cell>
          <cell r="BS8">
            <v>1</v>
          </cell>
          <cell r="BT8">
            <v>1</v>
          </cell>
          <cell r="BU8">
            <v>5</v>
          </cell>
          <cell r="BV8">
            <v>8</v>
          </cell>
          <cell r="BW8">
            <v>8</v>
          </cell>
          <cell r="BX8">
            <v>4</v>
          </cell>
          <cell r="BY8">
            <v>5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1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35</v>
          </cell>
          <cell r="CZ8">
            <v>52</v>
          </cell>
          <cell r="DA8">
            <v>77</v>
          </cell>
          <cell r="DB8">
            <v>91</v>
          </cell>
          <cell r="DC8">
            <v>107</v>
          </cell>
          <cell r="DD8">
            <v>16</v>
          </cell>
          <cell r="DE8">
            <v>30</v>
          </cell>
          <cell r="DF8">
            <v>33</v>
          </cell>
          <cell r="DG8">
            <v>33</v>
          </cell>
          <cell r="DH8">
            <v>40</v>
          </cell>
          <cell r="DI8">
            <v>1</v>
          </cell>
          <cell r="DJ8">
            <v>0</v>
          </cell>
          <cell r="DK8">
            <v>1</v>
          </cell>
          <cell r="DL8">
            <v>2</v>
          </cell>
          <cell r="DM8">
            <v>0</v>
          </cell>
          <cell r="DN8">
            <v>0</v>
          </cell>
          <cell r="DO8">
            <v>0</v>
          </cell>
          <cell r="DP8">
            <v>1</v>
          </cell>
          <cell r="DQ8">
            <v>3</v>
          </cell>
          <cell r="DR8">
            <v>2</v>
          </cell>
          <cell r="DS8">
            <v>0</v>
          </cell>
          <cell r="DT8">
            <v>1</v>
          </cell>
          <cell r="DU8">
            <v>1</v>
          </cell>
          <cell r="DV8">
            <v>2</v>
          </cell>
          <cell r="DW8">
            <v>1</v>
          </cell>
          <cell r="DX8">
            <v>0</v>
          </cell>
          <cell r="DY8">
            <v>1</v>
          </cell>
          <cell r="DZ8">
            <v>0</v>
          </cell>
          <cell r="EA8">
            <v>1</v>
          </cell>
          <cell r="EB8">
            <v>0</v>
          </cell>
          <cell r="EC8">
            <v>1</v>
          </cell>
          <cell r="ED8">
            <v>1</v>
          </cell>
          <cell r="EE8">
            <v>1</v>
          </cell>
          <cell r="EF8">
            <v>3</v>
          </cell>
          <cell r="EG8">
            <v>5</v>
          </cell>
          <cell r="EH8">
            <v>0</v>
          </cell>
          <cell r="EI8">
            <v>3</v>
          </cell>
          <cell r="EJ8">
            <v>0</v>
          </cell>
          <cell r="EK8">
            <v>0</v>
          </cell>
          <cell r="EL8">
            <v>2</v>
          </cell>
          <cell r="EM8">
            <v>0</v>
          </cell>
          <cell r="EN8">
            <v>1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1</v>
          </cell>
          <cell r="EU8">
            <v>1</v>
          </cell>
          <cell r="EV8">
            <v>1</v>
          </cell>
        </row>
        <row r="9">
          <cell r="B9">
            <v>6</v>
          </cell>
          <cell r="C9">
            <v>13</v>
          </cell>
          <cell r="D9">
            <v>7</v>
          </cell>
          <cell r="E9">
            <v>13</v>
          </cell>
          <cell r="F9">
            <v>19</v>
          </cell>
          <cell r="G9">
            <v>16</v>
          </cell>
          <cell r="H9">
            <v>1</v>
          </cell>
          <cell r="I9">
            <v>3</v>
          </cell>
          <cell r="J9">
            <v>2</v>
          </cell>
          <cell r="K9">
            <v>0</v>
          </cell>
          <cell r="L9">
            <v>3</v>
          </cell>
          <cell r="M9">
            <v>1</v>
          </cell>
          <cell r="N9">
            <v>0</v>
          </cell>
          <cell r="O9">
            <v>0</v>
          </cell>
          <cell r="P9">
            <v>2</v>
          </cell>
          <cell r="Q9">
            <v>3</v>
          </cell>
          <cell r="R9">
            <v>84</v>
          </cell>
          <cell r="S9">
            <v>83</v>
          </cell>
          <cell r="T9">
            <v>105</v>
          </cell>
          <cell r="U9">
            <v>136</v>
          </cell>
          <cell r="V9">
            <v>173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2</v>
          </cell>
          <cell r="AD9">
            <v>2</v>
          </cell>
          <cell r="AE9">
            <v>6</v>
          </cell>
          <cell r="AF9">
            <v>3</v>
          </cell>
          <cell r="AG9">
            <v>0</v>
          </cell>
          <cell r="AH9">
            <v>1</v>
          </cell>
          <cell r="AI9">
            <v>2</v>
          </cell>
          <cell r="AJ9">
            <v>2</v>
          </cell>
          <cell r="AK9">
            <v>2</v>
          </cell>
          <cell r="AL9">
            <v>11</v>
          </cell>
          <cell r="AM9">
            <v>8</v>
          </cell>
          <cell r="AN9">
            <v>11</v>
          </cell>
          <cell r="AO9">
            <v>13</v>
          </cell>
          <cell r="AP9">
            <v>7</v>
          </cell>
          <cell r="AQ9">
            <v>0</v>
          </cell>
          <cell r="AR9">
            <v>0</v>
          </cell>
          <cell r="AS9">
            <v>0</v>
          </cell>
          <cell r="AT9">
            <v>2</v>
          </cell>
          <cell r="AU9">
            <v>0</v>
          </cell>
          <cell r="AV9">
            <v>1</v>
          </cell>
          <cell r="AW9">
            <v>0</v>
          </cell>
          <cell r="AX9">
            <v>3</v>
          </cell>
          <cell r="AY9">
            <v>2</v>
          </cell>
          <cell r="AZ9">
            <v>0</v>
          </cell>
          <cell r="BA9">
            <v>1</v>
          </cell>
          <cell r="BB9">
            <v>0</v>
          </cell>
          <cell r="BC9">
            <v>1</v>
          </cell>
          <cell r="BD9">
            <v>2</v>
          </cell>
          <cell r="BE9">
            <v>6</v>
          </cell>
          <cell r="BF9">
            <v>1</v>
          </cell>
          <cell r="BG9">
            <v>4</v>
          </cell>
          <cell r="BH9">
            <v>3</v>
          </cell>
          <cell r="BI9">
            <v>1</v>
          </cell>
          <cell r="BJ9">
            <v>2</v>
          </cell>
          <cell r="BK9">
            <v>2</v>
          </cell>
          <cell r="BL9">
            <v>4</v>
          </cell>
          <cell r="BM9">
            <v>11</v>
          </cell>
          <cell r="BN9">
            <v>8</v>
          </cell>
          <cell r="BO9">
            <v>10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4</v>
          </cell>
          <cell r="BV9">
            <v>7</v>
          </cell>
          <cell r="BW9">
            <v>6</v>
          </cell>
          <cell r="BX9">
            <v>6</v>
          </cell>
          <cell r="BY9">
            <v>7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1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31</v>
          </cell>
          <cell r="CZ9">
            <v>31</v>
          </cell>
          <cell r="DA9">
            <v>60</v>
          </cell>
          <cell r="DB9">
            <v>42</v>
          </cell>
          <cell r="DC9">
            <v>60</v>
          </cell>
          <cell r="DD9">
            <v>13</v>
          </cell>
          <cell r="DE9">
            <v>19</v>
          </cell>
          <cell r="DF9">
            <v>30</v>
          </cell>
          <cell r="DG9">
            <v>23</v>
          </cell>
          <cell r="DH9">
            <v>14</v>
          </cell>
          <cell r="DI9">
            <v>0</v>
          </cell>
          <cell r="DJ9">
            <v>0</v>
          </cell>
          <cell r="DK9">
            <v>2</v>
          </cell>
          <cell r="DL9">
            <v>0</v>
          </cell>
          <cell r="DM9">
            <v>2</v>
          </cell>
          <cell r="DN9">
            <v>1</v>
          </cell>
          <cell r="DO9">
            <v>0</v>
          </cell>
          <cell r="DP9">
            <v>0</v>
          </cell>
          <cell r="DQ9">
            <v>3</v>
          </cell>
          <cell r="DR9">
            <v>2</v>
          </cell>
          <cell r="DS9">
            <v>0</v>
          </cell>
          <cell r="DT9">
            <v>0</v>
          </cell>
          <cell r="DU9">
            <v>3</v>
          </cell>
          <cell r="DV9">
            <v>2</v>
          </cell>
          <cell r="DW9">
            <v>2</v>
          </cell>
          <cell r="DX9">
            <v>0</v>
          </cell>
          <cell r="DY9">
            <v>0</v>
          </cell>
          <cell r="DZ9">
            <v>1</v>
          </cell>
          <cell r="EA9">
            <v>0</v>
          </cell>
          <cell r="EB9">
            <v>0</v>
          </cell>
          <cell r="EC9">
            <v>0</v>
          </cell>
          <cell r="ED9">
            <v>1</v>
          </cell>
          <cell r="EE9">
            <v>0</v>
          </cell>
          <cell r="EF9">
            <v>1</v>
          </cell>
          <cell r="EG9">
            <v>2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1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3</v>
          </cell>
          <cell r="ER9">
            <v>0</v>
          </cell>
          <cell r="ES9">
            <v>3</v>
          </cell>
          <cell r="ET9">
            <v>0</v>
          </cell>
          <cell r="EU9">
            <v>2</v>
          </cell>
          <cell r="EV9">
            <v>0</v>
          </cell>
        </row>
        <row r="10">
          <cell r="B10">
            <v>7</v>
          </cell>
          <cell r="C10">
            <v>7</v>
          </cell>
          <cell r="D10">
            <v>10</v>
          </cell>
          <cell r="E10">
            <v>6</v>
          </cell>
          <cell r="F10">
            <v>15</v>
          </cell>
          <cell r="G10">
            <v>7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51</v>
          </cell>
          <cell r="S10">
            <v>71</v>
          </cell>
          <cell r="T10">
            <v>80</v>
          </cell>
          <cell r="U10">
            <v>103</v>
          </cell>
          <cell r="V10">
            <v>123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2</v>
          </cell>
          <cell r="AC10">
            <v>1</v>
          </cell>
          <cell r="AD10">
            <v>3</v>
          </cell>
          <cell r="AE10">
            <v>1</v>
          </cell>
          <cell r="AF10">
            <v>2</v>
          </cell>
          <cell r="AG10">
            <v>0</v>
          </cell>
          <cell r="AH10">
            <v>1</v>
          </cell>
          <cell r="AI10">
            <v>2</v>
          </cell>
          <cell r="AJ10">
            <v>0</v>
          </cell>
          <cell r="AK10">
            <v>0</v>
          </cell>
          <cell r="AL10">
            <v>4</v>
          </cell>
          <cell r="AM10">
            <v>5</v>
          </cell>
          <cell r="AN10">
            <v>4</v>
          </cell>
          <cell r="AO10">
            <v>6</v>
          </cell>
          <cell r="AP10">
            <v>3</v>
          </cell>
          <cell r="AQ10">
            <v>1</v>
          </cell>
          <cell r="AR10">
            <v>0</v>
          </cell>
          <cell r="AS10">
            <v>0</v>
          </cell>
          <cell r="AT10">
            <v>0</v>
          </cell>
          <cell r="AU10">
            <v>1</v>
          </cell>
          <cell r="AV10">
            <v>0</v>
          </cell>
          <cell r="AW10">
            <v>0</v>
          </cell>
          <cell r="AX10">
            <v>1</v>
          </cell>
          <cell r="AY10">
            <v>1</v>
          </cell>
          <cell r="AZ10">
            <v>0</v>
          </cell>
          <cell r="BA10">
            <v>0</v>
          </cell>
          <cell r="BB10">
            <v>0</v>
          </cell>
          <cell r="BC10">
            <v>1</v>
          </cell>
          <cell r="BD10">
            <v>2</v>
          </cell>
          <cell r="BE10">
            <v>0</v>
          </cell>
          <cell r="BF10">
            <v>1</v>
          </cell>
          <cell r="BG10">
            <v>3</v>
          </cell>
          <cell r="BH10">
            <v>3</v>
          </cell>
          <cell r="BI10">
            <v>2</v>
          </cell>
          <cell r="BJ10">
            <v>1</v>
          </cell>
          <cell r="BK10">
            <v>9</v>
          </cell>
          <cell r="BL10">
            <v>9</v>
          </cell>
          <cell r="BM10">
            <v>7</v>
          </cell>
          <cell r="BN10">
            <v>14</v>
          </cell>
          <cell r="BO10">
            <v>14</v>
          </cell>
          <cell r="BP10">
            <v>0</v>
          </cell>
          <cell r="BQ10">
            <v>0</v>
          </cell>
          <cell r="BR10">
            <v>0</v>
          </cell>
          <cell r="BS10">
            <v>1</v>
          </cell>
          <cell r="BT10">
            <v>0</v>
          </cell>
          <cell r="BU10">
            <v>6</v>
          </cell>
          <cell r="BV10">
            <v>10</v>
          </cell>
          <cell r="BW10">
            <v>4</v>
          </cell>
          <cell r="BX10">
            <v>3</v>
          </cell>
          <cell r="BY10">
            <v>3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2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25</v>
          </cell>
          <cell r="CZ10">
            <v>29</v>
          </cell>
          <cell r="DA10">
            <v>45</v>
          </cell>
          <cell r="DB10">
            <v>56</v>
          </cell>
          <cell r="DC10">
            <v>51</v>
          </cell>
          <cell r="DD10">
            <v>4</v>
          </cell>
          <cell r="DE10">
            <v>19</v>
          </cell>
          <cell r="DF10">
            <v>20</v>
          </cell>
          <cell r="DG10">
            <v>20</v>
          </cell>
          <cell r="DH10">
            <v>15</v>
          </cell>
          <cell r="DI10">
            <v>0</v>
          </cell>
          <cell r="DJ10">
            <v>0</v>
          </cell>
          <cell r="DK10">
            <v>1</v>
          </cell>
          <cell r="DL10">
            <v>1</v>
          </cell>
          <cell r="DM10">
            <v>1</v>
          </cell>
          <cell r="DN10">
            <v>0</v>
          </cell>
          <cell r="DO10">
            <v>2</v>
          </cell>
          <cell r="DP10">
            <v>1</v>
          </cell>
          <cell r="DQ10">
            <v>7</v>
          </cell>
          <cell r="DR10">
            <v>1</v>
          </cell>
          <cell r="DS10">
            <v>0</v>
          </cell>
          <cell r="DT10">
            <v>0</v>
          </cell>
          <cell r="DU10">
            <v>0</v>
          </cell>
          <cell r="DV10">
            <v>1</v>
          </cell>
          <cell r="DW10">
            <v>0</v>
          </cell>
          <cell r="DX10">
            <v>1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1</v>
          </cell>
          <cell r="ED10">
            <v>2</v>
          </cell>
          <cell r="EE10">
            <v>0</v>
          </cell>
          <cell r="EF10">
            <v>0</v>
          </cell>
          <cell r="EG10">
            <v>1</v>
          </cell>
          <cell r="EH10">
            <v>0</v>
          </cell>
          <cell r="EI10">
            <v>1</v>
          </cell>
          <cell r="EJ10">
            <v>0</v>
          </cell>
          <cell r="EK10">
            <v>0</v>
          </cell>
          <cell r="EL10">
            <v>1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2</v>
          </cell>
        </row>
        <row r="11">
          <cell r="B11">
            <v>8</v>
          </cell>
          <cell r="C11">
            <v>5</v>
          </cell>
          <cell r="D11">
            <v>9</v>
          </cell>
          <cell r="E11">
            <v>9</v>
          </cell>
          <cell r="F11">
            <v>13</v>
          </cell>
          <cell r="G11">
            <v>15</v>
          </cell>
          <cell r="H11">
            <v>3</v>
          </cell>
          <cell r="I11">
            <v>1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43</v>
          </cell>
          <cell r="S11">
            <v>68</v>
          </cell>
          <cell r="T11">
            <v>87</v>
          </cell>
          <cell r="U11">
            <v>99</v>
          </cell>
          <cell r="V11">
            <v>107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</v>
          </cell>
          <cell r="AC11">
            <v>0</v>
          </cell>
          <cell r="AD11">
            <v>0</v>
          </cell>
          <cell r="AE11">
            <v>1</v>
          </cell>
          <cell r="AF11">
            <v>2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</v>
          </cell>
          <cell r="AL11">
            <v>4</v>
          </cell>
          <cell r="AM11">
            <v>11</v>
          </cell>
          <cell r="AN11">
            <v>10</v>
          </cell>
          <cell r="AO11">
            <v>1</v>
          </cell>
          <cell r="AP11">
            <v>8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1</v>
          </cell>
          <cell r="AW11">
            <v>2</v>
          </cell>
          <cell r="AX11">
            <v>2</v>
          </cell>
          <cell r="AY11">
            <v>2</v>
          </cell>
          <cell r="AZ11">
            <v>0</v>
          </cell>
          <cell r="BA11">
            <v>0</v>
          </cell>
          <cell r="BB11">
            <v>0</v>
          </cell>
          <cell r="BC11">
            <v>2</v>
          </cell>
          <cell r="BD11">
            <v>1</v>
          </cell>
          <cell r="BE11">
            <v>0</v>
          </cell>
          <cell r="BF11">
            <v>0</v>
          </cell>
          <cell r="BG11">
            <v>7</v>
          </cell>
          <cell r="BH11">
            <v>1</v>
          </cell>
          <cell r="BI11">
            <v>1</v>
          </cell>
          <cell r="BJ11">
            <v>1</v>
          </cell>
          <cell r="BK11">
            <v>4</v>
          </cell>
          <cell r="BL11">
            <v>13</v>
          </cell>
          <cell r="BM11">
            <v>10</v>
          </cell>
          <cell r="BN11">
            <v>16</v>
          </cell>
          <cell r="BO11">
            <v>11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3</v>
          </cell>
          <cell r="BV11">
            <v>6</v>
          </cell>
          <cell r="BW11">
            <v>10</v>
          </cell>
          <cell r="BX11">
            <v>2</v>
          </cell>
          <cell r="BY11">
            <v>6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1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16</v>
          </cell>
          <cell r="CZ11">
            <v>50</v>
          </cell>
          <cell r="DA11">
            <v>56</v>
          </cell>
          <cell r="DB11">
            <v>61</v>
          </cell>
          <cell r="DC11">
            <v>76</v>
          </cell>
          <cell r="DD11">
            <v>17</v>
          </cell>
          <cell r="DE11">
            <v>25</v>
          </cell>
          <cell r="DF11">
            <v>40</v>
          </cell>
          <cell r="DG11">
            <v>31</v>
          </cell>
          <cell r="DH11">
            <v>17</v>
          </cell>
          <cell r="DI11">
            <v>0</v>
          </cell>
          <cell r="DJ11">
            <v>0</v>
          </cell>
          <cell r="DK11">
            <v>1</v>
          </cell>
          <cell r="DL11">
            <v>0</v>
          </cell>
          <cell r="DM11">
            <v>1</v>
          </cell>
          <cell r="DN11">
            <v>1</v>
          </cell>
          <cell r="DO11">
            <v>1</v>
          </cell>
          <cell r="DP11">
            <v>1</v>
          </cell>
          <cell r="DQ11">
            <v>0</v>
          </cell>
          <cell r="DR11">
            <v>1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1</v>
          </cell>
          <cell r="EG11">
            <v>1</v>
          </cell>
          <cell r="EH11">
            <v>1</v>
          </cell>
          <cell r="EI11">
            <v>0</v>
          </cell>
          <cell r="EJ11">
            <v>0</v>
          </cell>
          <cell r="EK11">
            <v>1</v>
          </cell>
          <cell r="EL11">
            <v>2</v>
          </cell>
          <cell r="EM11">
            <v>0</v>
          </cell>
          <cell r="EN11">
            <v>0</v>
          </cell>
          <cell r="EO11">
            <v>0</v>
          </cell>
          <cell r="EP11">
            <v>2</v>
          </cell>
          <cell r="EQ11">
            <v>1</v>
          </cell>
          <cell r="ER11">
            <v>0</v>
          </cell>
          <cell r="ES11">
            <v>0</v>
          </cell>
          <cell r="ET11">
            <v>0</v>
          </cell>
          <cell r="EU11">
            <v>2</v>
          </cell>
          <cell r="EV11">
            <v>0</v>
          </cell>
        </row>
        <row r="12">
          <cell r="B12">
            <v>9</v>
          </cell>
          <cell r="C12">
            <v>8</v>
          </cell>
          <cell r="D12">
            <v>9</v>
          </cell>
          <cell r="E12">
            <v>3</v>
          </cell>
          <cell r="F12">
            <v>8</v>
          </cell>
          <cell r="G12">
            <v>6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4</v>
          </cell>
          <cell r="P12">
            <v>0</v>
          </cell>
          <cell r="Q12">
            <v>0</v>
          </cell>
          <cell r="R12">
            <v>70</v>
          </cell>
          <cell r="S12">
            <v>88</v>
          </cell>
          <cell r="T12">
            <v>106</v>
          </cell>
          <cell r="U12">
            <v>127</v>
          </cell>
          <cell r="V12">
            <v>170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4</v>
          </cell>
          <cell r="AD12">
            <v>2</v>
          </cell>
          <cell r="AE12">
            <v>3</v>
          </cell>
          <cell r="AF12">
            <v>4</v>
          </cell>
          <cell r="AG12">
            <v>0</v>
          </cell>
          <cell r="AH12">
            <v>0</v>
          </cell>
          <cell r="AI12">
            <v>0</v>
          </cell>
          <cell r="AJ12">
            <v>2</v>
          </cell>
          <cell r="AK12">
            <v>0</v>
          </cell>
          <cell r="AL12">
            <v>2</v>
          </cell>
          <cell r="AM12">
            <v>7</v>
          </cell>
          <cell r="AN12">
            <v>13</v>
          </cell>
          <cell r="AO12">
            <v>12</v>
          </cell>
          <cell r="AP12">
            <v>6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1</v>
          </cell>
          <cell r="AX12">
            <v>5</v>
          </cell>
          <cell r="AY12">
            <v>0</v>
          </cell>
          <cell r="AZ12">
            <v>1</v>
          </cell>
          <cell r="BA12">
            <v>1</v>
          </cell>
          <cell r="BB12">
            <v>0</v>
          </cell>
          <cell r="BC12">
            <v>4</v>
          </cell>
          <cell r="BD12">
            <v>0</v>
          </cell>
          <cell r="BE12">
            <v>1</v>
          </cell>
          <cell r="BF12">
            <v>2</v>
          </cell>
          <cell r="BG12">
            <v>3</v>
          </cell>
          <cell r="BH12">
            <v>2</v>
          </cell>
          <cell r="BI12">
            <v>2</v>
          </cell>
          <cell r="BJ12">
            <v>1</v>
          </cell>
          <cell r="BK12">
            <v>7</v>
          </cell>
          <cell r="BL12">
            <v>13</v>
          </cell>
          <cell r="BM12">
            <v>7</v>
          </cell>
          <cell r="BN12">
            <v>10</v>
          </cell>
          <cell r="BO12">
            <v>10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1</v>
          </cell>
          <cell r="BU12">
            <v>2</v>
          </cell>
          <cell r="BV12">
            <v>7</v>
          </cell>
          <cell r="BW12">
            <v>3</v>
          </cell>
          <cell r="BX12">
            <v>6</v>
          </cell>
          <cell r="BY12">
            <v>4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</v>
          </cell>
          <cell r="CQ12">
            <v>0</v>
          </cell>
          <cell r="CR12">
            <v>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1</v>
          </cell>
          <cell r="CY12">
            <v>18</v>
          </cell>
          <cell r="CZ12">
            <v>46</v>
          </cell>
          <cell r="DA12">
            <v>68</v>
          </cell>
          <cell r="DB12">
            <v>74</v>
          </cell>
          <cell r="DC12">
            <v>72</v>
          </cell>
          <cell r="DD12">
            <v>16</v>
          </cell>
          <cell r="DE12">
            <v>20</v>
          </cell>
          <cell r="DF12">
            <v>29</v>
          </cell>
          <cell r="DG12">
            <v>21</v>
          </cell>
          <cell r="DH12">
            <v>23</v>
          </cell>
          <cell r="DI12">
            <v>1</v>
          </cell>
          <cell r="DJ12">
            <v>1</v>
          </cell>
          <cell r="DK12">
            <v>1</v>
          </cell>
          <cell r="DL12">
            <v>1</v>
          </cell>
          <cell r="DM12">
            <v>3</v>
          </cell>
          <cell r="DN12">
            <v>0</v>
          </cell>
          <cell r="DO12">
            <v>1</v>
          </cell>
          <cell r="DP12">
            <v>0</v>
          </cell>
          <cell r="DQ12">
            <v>1</v>
          </cell>
          <cell r="DR12">
            <v>1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1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</v>
          </cell>
          <cell r="EC12">
            <v>0</v>
          </cell>
          <cell r="ED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1</v>
          </cell>
          <cell r="EO12">
            <v>0</v>
          </cell>
          <cell r="EP12">
            <v>0</v>
          </cell>
          <cell r="EQ12">
            <v>1</v>
          </cell>
          <cell r="ER12">
            <v>0</v>
          </cell>
          <cell r="ES12">
            <v>2</v>
          </cell>
          <cell r="ET12">
            <v>0</v>
          </cell>
          <cell r="EU12">
            <v>0</v>
          </cell>
          <cell r="EV12">
            <v>0</v>
          </cell>
        </row>
        <row r="13">
          <cell r="B13">
            <v>10</v>
          </cell>
          <cell r="C13">
            <v>4</v>
          </cell>
          <cell r="D13">
            <v>6</v>
          </cell>
          <cell r="E13">
            <v>3</v>
          </cell>
          <cell r="F13">
            <v>6</v>
          </cell>
          <cell r="G13">
            <v>7</v>
          </cell>
          <cell r="H13">
            <v>1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1</v>
          </cell>
          <cell r="R13">
            <v>52</v>
          </cell>
          <cell r="S13">
            <v>68</v>
          </cell>
          <cell r="T13">
            <v>63</v>
          </cell>
          <cell r="U13">
            <v>92</v>
          </cell>
          <cell r="V13">
            <v>114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2</v>
          </cell>
          <cell r="AE13">
            <v>3</v>
          </cell>
          <cell r="AF13">
            <v>1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7</v>
          </cell>
          <cell r="AN13">
            <v>7</v>
          </cell>
          <cell r="AO13">
            <v>4</v>
          </cell>
          <cell r="AP13">
            <v>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1</v>
          </cell>
          <cell r="AW13">
            <v>3</v>
          </cell>
          <cell r="AX13">
            <v>1</v>
          </cell>
          <cell r="AY13">
            <v>1</v>
          </cell>
          <cell r="AZ13">
            <v>2</v>
          </cell>
          <cell r="BA13">
            <v>0</v>
          </cell>
          <cell r="BB13">
            <v>2</v>
          </cell>
          <cell r="BC13">
            <v>0</v>
          </cell>
          <cell r="BD13">
            <v>2</v>
          </cell>
          <cell r="BE13">
            <v>2</v>
          </cell>
          <cell r="BF13">
            <v>2</v>
          </cell>
          <cell r="BG13">
            <v>3</v>
          </cell>
          <cell r="BH13">
            <v>2</v>
          </cell>
          <cell r="BI13">
            <v>2</v>
          </cell>
          <cell r="BJ13">
            <v>3</v>
          </cell>
          <cell r="BK13">
            <v>4</v>
          </cell>
          <cell r="BL13">
            <v>3</v>
          </cell>
          <cell r="BM13">
            <v>3</v>
          </cell>
          <cell r="BN13">
            <v>7</v>
          </cell>
          <cell r="BO13">
            <v>8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1</v>
          </cell>
          <cell r="BV13">
            <v>2</v>
          </cell>
          <cell r="BW13">
            <v>6</v>
          </cell>
          <cell r="BX13">
            <v>3</v>
          </cell>
          <cell r="BY13">
            <v>7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16</v>
          </cell>
          <cell r="CZ13">
            <v>37</v>
          </cell>
          <cell r="DA13">
            <v>40</v>
          </cell>
          <cell r="DB13">
            <v>52</v>
          </cell>
          <cell r="DC13">
            <v>74</v>
          </cell>
          <cell r="DD13">
            <v>15</v>
          </cell>
          <cell r="DE13">
            <v>13</v>
          </cell>
          <cell r="DF13">
            <v>23</v>
          </cell>
          <cell r="DG13">
            <v>17</v>
          </cell>
          <cell r="DH13">
            <v>18</v>
          </cell>
          <cell r="DI13">
            <v>1</v>
          </cell>
          <cell r="DJ13">
            <v>0</v>
          </cell>
          <cell r="DK13">
            <v>1</v>
          </cell>
          <cell r="DL13">
            <v>1</v>
          </cell>
          <cell r="DM13">
            <v>0</v>
          </cell>
          <cell r="DN13">
            <v>0</v>
          </cell>
          <cell r="DO13">
            <v>2</v>
          </cell>
          <cell r="DP13">
            <v>1</v>
          </cell>
          <cell r="DQ13">
            <v>1</v>
          </cell>
          <cell r="DR13">
            <v>3</v>
          </cell>
          <cell r="DS13">
            <v>0</v>
          </cell>
          <cell r="DT13">
            <v>0</v>
          </cell>
          <cell r="DU13">
            <v>0</v>
          </cell>
          <cell r="DV13">
            <v>2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2</v>
          </cell>
        </row>
        <row r="14">
          <cell r="B14">
            <v>11</v>
          </cell>
          <cell r="C14">
            <v>10</v>
          </cell>
          <cell r="D14">
            <v>12</v>
          </cell>
          <cell r="E14">
            <v>6</v>
          </cell>
          <cell r="F14">
            <v>5</v>
          </cell>
          <cell r="G14">
            <v>12</v>
          </cell>
          <cell r="H14">
            <v>0</v>
          </cell>
          <cell r="I14">
            <v>0</v>
          </cell>
          <cell r="J14">
            <v>0</v>
          </cell>
          <cell r="K14">
            <v>2</v>
          </cell>
          <cell r="L14">
            <v>0</v>
          </cell>
          <cell r="M14">
            <v>2</v>
          </cell>
          <cell r="N14">
            <v>1</v>
          </cell>
          <cell r="O14">
            <v>1</v>
          </cell>
          <cell r="P14">
            <v>1</v>
          </cell>
          <cell r="Q14">
            <v>2</v>
          </cell>
          <cell r="R14">
            <v>68</v>
          </cell>
          <cell r="S14">
            <v>78</v>
          </cell>
          <cell r="T14">
            <v>88</v>
          </cell>
          <cell r="U14">
            <v>134</v>
          </cell>
          <cell r="V14">
            <v>146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1</v>
          </cell>
          <cell r="AJ14">
            <v>1</v>
          </cell>
          <cell r="AK14">
            <v>0</v>
          </cell>
          <cell r="AL14">
            <v>2</v>
          </cell>
          <cell r="AM14">
            <v>5</v>
          </cell>
          <cell r="AN14">
            <v>10</v>
          </cell>
          <cell r="AO14">
            <v>4</v>
          </cell>
          <cell r="AP14">
            <v>8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3</v>
          </cell>
          <cell r="AX14">
            <v>3</v>
          </cell>
          <cell r="AY14">
            <v>2</v>
          </cell>
          <cell r="AZ14">
            <v>0</v>
          </cell>
          <cell r="BA14">
            <v>0</v>
          </cell>
          <cell r="BB14">
            <v>0</v>
          </cell>
          <cell r="BC14">
            <v>1</v>
          </cell>
          <cell r="BD14">
            <v>1</v>
          </cell>
          <cell r="BE14">
            <v>0</v>
          </cell>
          <cell r="BF14">
            <v>3</v>
          </cell>
          <cell r="BG14">
            <v>1</v>
          </cell>
          <cell r="BH14">
            <v>2</v>
          </cell>
          <cell r="BI14">
            <v>5</v>
          </cell>
          <cell r="BJ14">
            <v>3</v>
          </cell>
          <cell r="BK14">
            <v>5</v>
          </cell>
          <cell r="BL14">
            <v>5</v>
          </cell>
          <cell r="BM14">
            <v>10</v>
          </cell>
          <cell r="BN14">
            <v>20</v>
          </cell>
          <cell r="BO14">
            <v>15</v>
          </cell>
          <cell r="BP14">
            <v>0</v>
          </cell>
          <cell r="BQ14">
            <v>1</v>
          </cell>
          <cell r="BR14">
            <v>0</v>
          </cell>
          <cell r="BS14">
            <v>0</v>
          </cell>
          <cell r="BT14">
            <v>1</v>
          </cell>
          <cell r="BU14">
            <v>7</v>
          </cell>
          <cell r="BV14">
            <v>9</v>
          </cell>
          <cell r="BW14">
            <v>6</v>
          </cell>
          <cell r="BX14">
            <v>2</v>
          </cell>
          <cell r="BY14">
            <v>2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</v>
          </cell>
          <cell r="CQ14">
            <v>0</v>
          </cell>
          <cell r="CR14">
            <v>1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</v>
          </cell>
          <cell r="CZ14">
            <v>37</v>
          </cell>
          <cell r="DA14">
            <v>53</v>
          </cell>
          <cell r="DB14">
            <v>75</v>
          </cell>
          <cell r="DC14">
            <v>56</v>
          </cell>
          <cell r="DD14">
            <v>12</v>
          </cell>
          <cell r="DE14">
            <v>20</v>
          </cell>
          <cell r="DF14">
            <v>40</v>
          </cell>
          <cell r="DG14">
            <v>21</v>
          </cell>
          <cell r="DH14">
            <v>29</v>
          </cell>
          <cell r="DI14">
            <v>0</v>
          </cell>
          <cell r="DJ14">
            <v>3</v>
          </cell>
          <cell r="DK14">
            <v>3</v>
          </cell>
          <cell r="DL14">
            <v>0</v>
          </cell>
          <cell r="DM14">
            <v>0</v>
          </cell>
          <cell r="DN14">
            <v>0</v>
          </cell>
          <cell r="DO14">
            <v>1</v>
          </cell>
          <cell r="DP14">
            <v>1</v>
          </cell>
          <cell r="DQ14">
            <v>1</v>
          </cell>
          <cell r="DR14">
            <v>1</v>
          </cell>
          <cell r="DS14">
            <v>1</v>
          </cell>
          <cell r="DT14">
            <v>0</v>
          </cell>
          <cell r="DU14">
            <v>1</v>
          </cell>
          <cell r="DV14">
            <v>1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1</v>
          </cell>
          <cell r="ED14">
            <v>0</v>
          </cell>
          <cell r="EE14">
            <v>0</v>
          </cell>
          <cell r="EF14">
            <v>1</v>
          </cell>
          <cell r="EG14">
            <v>0</v>
          </cell>
          <cell r="EH14">
            <v>0</v>
          </cell>
          <cell r="EI14">
            <v>1</v>
          </cell>
          <cell r="EJ14">
            <v>0</v>
          </cell>
          <cell r="EK14">
            <v>1</v>
          </cell>
          <cell r="EL14">
            <v>1</v>
          </cell>
          <cell r="EM14">
            <v>1</v>
          </cell>
          <cell r="EN14">
            <v>0</v>
          </cell>
          <cell r="EO14">
            <v>1</v>
          </cell>
          <cell r="EP14">
            <v>0</v>
          </cell>
          <cell r="EQ14">
            <v>1</v>
          </cell>
          <cell r="ER14">
            <v>0</v>
          </cell>
          <cell r="ES14">
            <v>0</v>
          </cell>
          <cell r="ET14">
            <v>1</v>
          </cell>
          <cell r="EU14">
            <v>1</v>
          </cell>
          <cell r="EV14">
            <v>0</v>
          </cell>
        </row>
        <row r="15">
          <cell r="B15">
            <v>12</v>
          </cell>
          <cell r="C15">
            <v>12</v>
          </cell>
          <cell r="D15">
            <v>8</v>
          </cell>
          <cell r="E15">
            <v>8</v>
          </cell>
          <cell r="F15">
            <v>13</v>
          </cell>
          <cell r="G15">
            <v>11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2</v>
          </cell>
          <cell r="Q15">
            <v>3</v>
          </cell>
          <cell r="R15">
            <v>71</v>
          </cell>
          <cell r="S15">
            <v>75</v>
          </cell>
          <cell r="T15">
            <v>90</v>
          </cell>
          <cell r="U15">
            <v>125</v>
          </cell>
          <cell r="V15">
            <v>123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</v>
          </cell>
          <cell r="AD15">
            <v>0</v>
          </cell>
          <cell r="AE15">
            <v>0</v>
          </cell>
          <cell r="AF15">
            <v>5</v>
          </cell>
          <cell r="AG15">
            <v>0</v>
          </cell>
          <cell r="AH15">
            <v>0</v>
          </cell>
          <cell r="AI15">
            <v>2</v>
          </cell>
          <cell r="AJ15">
            <v>1</v>
          </cell>
          <cell r="AK15">
            <v>0</v>
          </cell>
          <cell r="AL15">
            <v>4</v>
          </cell>
          <cell r="AM15">
            <v>7</v>
          </cell>
          <cell r="AN15">
            <v>8</v>
          </cell>
          <cell r="AO15">
            <v>5</v>
          </cell>
          <cell r="AP15">
            <v>6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</v>
          </cell>
          <cell r="AV15">
            <v>1</v>
          </cell>
          <cell r="AW15">
            <v>0</v>
          </cell>
          <cell r="AX15">
            <v>3</v>
          </cell>
          <cell r="AY15">
            <v>3</v>
          </cell>
          <cell r="AZ15">
            <v>2</v>
          </cell>
          <cell r="BA15">
            <v>0</v>
          </cell>
          <cell r="BB15">
            <v>2</v>
          </cell>
          <cell r="BC15">
            <v>1</v>
          </cell>
          <cell r="BD15">
            <v>0</v>
          </cell>
          <cell r="BE15">
            <v>2</v>
          </cell>
          <cell r="BF15">
            <v>4</v>
          </cell>
          <cell r="BG15">
            <v>3</v>
          </cell>
          <cell r="BH15">
            <v>2</v>
          </cell>
          <cell r="BI15">
            <v>1</v>
          </cell>
          <cell r="BJ15">
            <v>4</v>
          </cell>
          <cell r="BK15">
            <v>7</v>
          </cell>
          <cell r="BL15">
            <v>9</v>
          </cell>
          <cell r="BM15">
            <v>13</v>
          </cell>
          <cell r="BN15">
            <v>15</v>
          </cell>
          <cell r="BO15">
            <v>9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3</v>
          </cell>
          <cell r="BV15">
            <v>5</v>
          </cell>
          <cell r="BW15">
            <v>3</v>
          </cell>
          <cell r="BX15">
            <v>0</v>
          </cell>
          <cell r="BY15">
            <v>6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1</v>
          </cell>
          <cell r="CK15">
            <v>0</v>
          </cell>
          <cell r="CL15">
            <v>0</v>
          </cell>
          <cell r="CM15">
            <v>0</v>
          </cell>
          <cell r="CN15">
            <v>1</v>
          </cell>
          <cell r="CO15">
            <v>1</v>
          </cell>
          <cell r="CP15">
            <v>0</v>
          </cell>
          <cell r="CQ15">
            <v>0</v>
          </cell>
          <cell r="CR15">
            <v>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20</v>
          </cell>
          <cell r="CZ15">
            <v>44</v>
          </cell>
          <cell r="DA15">
            <v>38</v>
          </cell>
          <cell r="DB15">
            <v>51</v>
          </cell>
          <cell r="DC15">
            <v>58</v>
          </cell>
          <cell r="DD15">
            <v>17</v>
          </cell>
          <cell r="DE15">
            <v>26</v>
          </cell>
          <cell r="DF15">
            <v>31</v>
          </cell>
          <cell r="DG15">
            <v>26</v>
          </cell>
          <cell r="DH15">
            <v>44</v>
          </cell>
          <cell r="DI15">
            <v>0</v>
          </cell>
          <cell r="DJ15">
            <v>1</v>
          </cell>
          <cell r="DK15">
            <v>1</v>
          </cell>
          <cell r="DL15">
            <v>1</v>
          </cell>
          <cell r="DM15">
            <v>0</v>
          </cell>
          <cell r="DN15">
            <v>0</v>
          </cell>
          <cell r="DO15">
            <v>1</v>
          </cell>
          <cell r="DP15">
            <v>1</v>
          </cell>
          <cell r="DQ15">
            <v>2</v>
          </cell>
          <cell r="DR15">
            <v>5</v>
          </cell>
          <cell r="DS15">
            <v>1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1</v>
          </cell>
          <cell r="EF15">
            <v>2</v>
          </cell>
          <cell r="EG15">
            <v>1</v>
          </cell>
          <cell r="EH15">
            <v>1</v>
          </cell>
          <cell r="EI15">
            <v>0</v>
          </cell>
          <cell r="EJ15">
            <v>0</v>
          </cell>
          <cell r="EK15">
            <v>1</v>
          </cell>
          <cell r="EL15">
            <v>1</v>
          </cell>
          <cell r="EM15">
            <v>0</v>
          </cell>
          <cell r="EN15">
            <v>3</v>
          </cell>
          <cell r="EO15">
            <v>0</v>
          </cell>
          <cell r="EP15">
            <v>0</v>
          </cell>
          <cell r="EQ15">
            <v>2</v>
          </cell>
          <cell r="ER15">
            <v>0</v>
          </cell>
          <cell r="ES15">
            <v>3</v>
          </cell>
          <cell r="ET15">
            <v>0</v>
          </cell>
          <cell r="EU15">
            <v>0</v>
          </cell>
          <cell r="EV15">
            <v>0</v>
          </cell>
        </row>
      </sheetData>
      <sheetData sheetId="2"/>
      <sheetData sheetId="3"/>
      <sheetData sheetId="4">
        <row r="5">
          <cell r="A5">
            <v>1</v>
          </cell>
          <cell r="B5">
            <v>2602.0953948289884</v>
          </cell>
          <cell r="C5">
            <v>819.32275000000016</v>
          </cell>
          <cell r="D5">
            <v>1241.7711689880953</v>
          </cell>
          <cell r="E5">
            <v>15785</v>
          </cell>
          <cell r="F5">
            <v>1255.4051683809521</v>
          </cell>
          <cell r="G5">
            <v>916.25490910160306</v>
          </cell>
          <cell r="H5">
            <v>629.38857142857148</v>
          </cell>
          <cell r="I5">
            <v>346.97984375000004</v>
          </cell>
          <cell r="J5">
            <v>1027.4535000000001</v>
          </cell>
          <cell r="K5">
            <v>11</v>
          </cell>
          <cell r="L5">
            <v>910.46007857142865</v>
          </cell>
          <cell r="M5">
            <v>174</v>
          </cell>
          <cell r="N5">
            <v>31</v>
          </cell>
          <cell r="O5">
            <v>11</v>
          </cell>
          <cell r="P5">
            <v>33</v>
          </cell>
          <cell r="Q5">
            <v>66</v>
          </cell>
          <cell r="R5">
            <v>462</v>
          </cell>
          <cell r="S5">
            <v>7123</v>
          </cell>
          <cell r="T5">
            <v>460</v>
          </cell>
          <cell r="U5">
            <v>88</v>
          </cell>
          <cell r="V5">
            <v>8</v>
          </cell>
          <cell r="W5">
            <v>329</v>
          </cell>
          <cell r="X5">
            <v>28</v>
          </cell>
          <cell r="Y5">
            <v>244</v>
          </cell>
          <cell r="Z5">
            <v>55</v>
          </cell>
        </row>
        <row r="6">
          <cell r="A6">
            <v>2</v>
          </cell>
          <cell r="B6">
            <v>1499.5729564925598</v>
          </cell>
          <cell r="C6">
            <v>412.3978968253968</v>
          </cell>
          <cell r="D6">
            <v>697.94113446428571</v>
          </cell>
          <cell r="E6">
            <v>9278</v>
          </cell>
          <cell r="F6">
            <v>842.17225123809533</v>
          </cell>
          <cell r="G6">
            <v>556.19902874829006</v>
          </cell>
          <cell r="H6">
            <v>346.0291666666667</v>
          </cell>
          <cell r="I6">
            <v>210.34484375</v>
          </cell>
          <cell r="J6">
            <v>557</v>
          </cell>
          <cell r="K6">
            <v>7</v>
          </cell>
          <cell r="L6">
            <v>519.2745184523809</v>
          </cell>
          <cell r="M6">
            <v>93</v>
          </cell>
          <cell r="N6">
            <v>22</v>
          </cell>
          <cell r="O6">
            <v>8</v>
          </cell>
          <cell r="P6">
            <v>21</v>
          </cell>
          <cell r="Q6">
            <v>41</v>
          </cell>
          <cell r="R6">
            <v>238</v>
          </cell>
          <cell r="S6">
            <v>3930</v>
          </cell>
          <cell r="T6">
            <v>260</v>
          </cell>
          <cell r="U6">
            <v>58</v>
          </cell>
          <cell r="V6">
            <v>6</v>
          </cell>
          <cell r="W6">
            <v>173</v>
          </cell>
          <cell r="X6">
            <v>20</v>
          </cell>
          <cell r="Y6">
            <v>120.4</v>
          </cell>
          <cell r="Z6">
            <v>37</v>
          </cell>
        </row>
        <row r="7">
          <cell r="A7">
            <v>3</v>
          </cell>
          <cell r="B7">
            <v>1173.4254831344049</v>
          </cell>
          <cell r="C7">
            <v>427.82132539682527</v>
          </cell>
          <cell r="D7">
            <v>593.19223988095246</v>
          </cell>
          <cell r="E7">
            <v>7552</v>
          </cell>
          <cell r="F7">
            <v>540.30371923809525</v>
          </cell>
          <cell r="G7">
            <v>396.84358095001886</v>
          </cell>
          <cell r="H7">
            <v>308.32922619047611</v>
          </cell>
          <cell r="I7">
            <v>165.03250000000003</v>
          </cell>
          <cell r="J7">
            <v>625</v>
          </cell>
          <cell r="K7">
            <v>5</v>
          </cell>
          <cell r="L7">
            <v>454.45416845238083</v>
          </cell>
          <cell r="M7">
            <v>90</v>
          </cell>
          <cell r="N7">
            <v>15</v>
          </cell>
          <cell r="O7">
            <v>6</v>
          </cell>
          <cell r="P7">
            <v>17</v>
          </cell>
          <cell r="Q7">
            <v>33</v>
          </cell>
          <cell r="R7">
            <v>233</v>
          </cell>
          <cell r="S7">
            <v>3946</v>
          </cell>
          <cell r="T7">
            <v>267</v>
          </cell>
          <cell r="U7">
            <v>47</v>
          </cell>
          <cell r="V7">
            <v>5</v>
          </cell>
          <cell r="W7">
            <v>159</v>
          </cell>
          <cell r="X7">
            <v>6</v>
          </cell>
          <cell r="Y7">
            <v>124</v>
          </cell>
          <cell r="Z7">
            <v>27</v>
          </cell>
        </row>
        <row r="8">
          <cell r="A8">
            <v>4</v>
          </cell>
          <cell r="B8">
            <v>1993.2827703917862</v>
          </cell>
          <cell r="C8">
            <v>601.37464484126963</v>
          </cell>
          <cell r="D8">
            <v>975.91268488095216</v>
          </cell>
          <cell r="E8">
            <v>11443</v>
          </cell>
          <cell r="F8">
            <v>1004.3865129523811</v>
          </cell>
          <cell r="G8">
            <v>659.13494929761612</v>
          </cell>
          <cell r="H8">
            <v>504.09904761904744</v>
          </cell>
          <cell r="I8">
            <v>243.26609374999998</v>
          </cell>
          <cell r="J8">
            <v>749.43112500000007</v>
          </cell>
          <cell r="K8">
            <v>12</v>
          </cell>
          <cell r="L8">
            <v>725.00335833333315</v>
          </cell>
          <cell r="M8">
            <v>138</v>
          </cell>
          <cell r="N8">
            <v>31</v>
          </cell>
          <cell r="O8">
            <v>11</v>
          </cell>
          <cell r="P8">
            <v>29</v>
          </cell>
          <cell r="Q8">
            <v>59</v>
          </cell>
          <cell r="R8">
            <v>363</v>
          </cell>
          <cell r="S8">
            <v>5294</v>
          </cell>
          <cell r="T8">
            <v>370</v>
          </cell>
          <cell r="U8">
            <v>79</v>
          </cell>
          <cell r="V8">
            <v>8</v>
          </cell>
          <cell r="W8">
            <v>256</v>
          </cell>
          <cell r="X8">
            <v>11</v>
          </cell>
          <cell r="Y8">
            <v>173</v>
          </cell>
          <cell r="Z8">
            <v>58</v>
          </cell>
        </row>
        <row r="9">
          <cell r="A9">
            <v>5</v>
          </cell>
          <cell r="B9">
            <v>2521.5345862499994</v>
          </cell>
          <cell r="C9">
            <v>660.95566071428561</v>
          </cell>
          <cell r="D9">
            <v>1121.4396742857145</v>
          </cell>
          <cell r="E9">
            <v>14690</v>
          </cell>
          <cell r="F9">
            <v>1373.0055201904761</v>
          </cell>
          <cell r="G9">
            <v>773.01619980519911</v>
          </cell>
          <cell r="H9">
            <v>514.93892857142862</v>
          </cell>
          <cell r="I9">
            <v>273.59921874999998</v>
          </cell>
          <cell r="J9">
            <v>966.71687499999996</v>
          </cell>
          <cell r="K9">
            <v>15</v>
          </cell>
          <cell r="L9">
            <v>925.57915833333323</v>
          </cell>
          <cell r="M9">
            <v>152</v>
          </cell>
          <cell r="N9">
            <v>40</v>
          </cell>
          <cell r="O9">
            <v>14</v>
          </cell>
          <cell r="P9">
            <v>35</v>
          </cell>
          <cell r="Q9">
            <v>71</v>
          </cell>
          <cell r="R9">
            <v>383</v>
          </cell>
          <cell r="S9">
            <v>5971</v>
          </cell>
          <cell r="T9">
            <v>441</v>
          </cell>
          <cell r="U9">
            <v>94</v>
          </cell>
          <cell r="V9">
            <v>10</v>
          </cell>
          <cell r="W9">
            <v>289</v>
          </cell>
          <cell r="X9">
            <v>30</v>
          </cell>
          <cell r="Y9">
            <v>174</v>
          </cell>
          <cell r="Z9">
            <v>73</v>
          </cell>
        </row>
        <row r="10">
          <cell r="A10">
            <v>6</v>
          </cell>
          <cell r="B10">
            <v>2384.2568650984517</v>
          </cell>
          <cell r="C10">
            <v>645.04359722222216</v>
          </cell>
          <cell r="D10">
            <v>1130.210669404762</v>
          </cell>
          <cell r="E10">
            <v>13944</v>
          </cell>
          <cell r="F10">
            <v>1274.2797354285717</v>
          </cell>
          <cell r="G10">
            <v>821.12118876407681</v>
          </cell>
          <cell r="H10">
            <v>534.25089285714284</v>
          </cell>
          <cell r="I10">
            <v>305.07015625000003</v>
          </cell>
          <cell r="J10">
            <v>789.04212499999994</v>
          </cell>
          <cell r="K10">
            <v>14</v>
          </cell>
          <cell r="L10">
            <v>816.2005083333338</v>
          </cell>
          <cell r="M10">
            <v>161</v>
          </cell>
          <cell r="N10">
            <v>48</v>
          </cell>
          <cell r="O10">
            <v>15</v>
          </cell>
          <cell r="P10">
            <v>34</v>
          </cell>
          <cell r="Q10">
            <v>67</v>
          </cell>
          <cell r="R10">
            <v>408</v>
          </cell>
          <cell r="S10">
            <v>5300</v>
          </cell>
          <cell r="T10">
            <v>416</v>
          </cell>
          <cell r="U10">
            <v>91</v>
          </cell>
          <cell r="V10">
            <v>9</v>
          </cell>
          <cell r="W10">
            <v>303</v>
          </cell>
          <cell r="X10">
            <v>20</v>
          </cell>
          <cell r="Y10">
            <v>186</v>
          </cell>
          <cell r="Z10">
            <v>72</v>
          </cell>
        </row>
        <row r="11">
          <cell r="A11">
            <v>7</v>
          </cell>
          <cell r="B11">
            <v>1909.9350129022619</v>
          </cell>
          <cell r="C11">
            <v>696.63547222222201</v>
          </cell>
          <cell r="D11">
            <v>879.30138220238098</v>
          </cell>
          <cell r="E11">
            <v>11971</v>
          </cell>
          <cell r="F11">
            <v>896.71130533333348</v>
          </cell>
          <cell r="G11">
            <v>628.53151435243672</v>
          </cell>
          <cell r="H11">
            <v>443.62470238095216</v>
          </cell>
          <cell r="I11">
            <v>282.62953125000007</v>
          </cell>
          <cell r="J11">
            <v>932.20749999999998</v>
          </cell>
          <cell r="K11">
            <v>6</v>
          </cell>
          <cell r="L11">
            <v>649.22386071428559</v>
          </cell>
          <cell r="M11">
            <v>124</v>
          </cell>
          <cell r="N11">
            <v>18</v>
          </cell>
          <cell r="O11">
            <v>6</v>
          </cell>
          <cell r="P11">
            <v>24</v>
          </cell>
          <cell r="Q11">
            <v>48</v>
          </cell>
          <cell r="R11">
            <v>337</v>
          </cell>
          <cell r="S11">
            <v>5500</v>
          </cell>
          <cell r="T11">
            <v>333</v>
          </cell>
          <cell r="U11">
            <v>59</v>
          </cell>
          <cell r="V11">
            <v>4</v>
          </cell>
          <cell r="W11">
            <v>228</v>
          </cell>
          <cell r="X11">
            <v>12</v>
          </cell>
          <cell r="Y11">
            <v>183</v>
          </cell>
          <cell r="Z11">
            <v>30</v>
          </cell>
        </row>
        <row r="12">
          <cell r="A12">
            <v>8</v>
          </cell>
          <cell r="B12">
            <v>2003.8921282864878</v>
          </cell>
          <cell r="C12">
            <v>662.6784761904762</v>
          </cell>
          <cell r="D12">
            <v>987.86313244047608</v>
          </cell>
          <cell r="E12">
            <v>12546</v>
          </cell>
          <cell r="F12">
            <v>888.37571828571436</v>
          </cell>
          <cell r="G12">
            <v>671.04711387135796</v>
          </cell>
          <cell r="H12">
            <v>466.16499999999996</v>
          </cell>
          <cell r="I12">
            <v>258.24468749999994</v>
          </cell>
          <cell r="J12">
            <v>969.142875</v>
          </cell>
          <cell r="K12">
            <v>9</v>
          </cell>
          <cell r="L12">
            <v>730.97254642857126</v>
          </cell>
          <cell r="M12">
            <v>146</v>
          </cell>
          <cell r="N12">
            <v>24</v>
          </cell>
          <cell r="O12">
            <v>9</v>
          </cell>
          <cell r="P12">
            <v>24</v>
          </cell>
          <cell r="Q12">
            <v>48</v>
          </cell>
          <cell r="R12">
            <v>379</v>
          </cell>
          <cell r="S12">
            <v>6053</v>
          </cell>
          <cell r="T12">
            <v>417</v>
          </cell>
          <cell r="U12">
            <v>67</v>
          </cell>
          <cell r="V12">
            <v>7</v>
          </cell>
          <cell r="W12">
            <v>266</v>
          </cell>
          <cell r="X12">
            <v>11</v>
          </cell>
          <cell r="Y12">
            <v>202.88</v>
          </cell>
          <cell r="Z12">
            <v>45</v>
          </cell>
        </row>
        <row r="13">
          <cell r="A13">
            <v>9</v>
          </cell>
          <cell r="B13">
            <v>2624.00099758235</v>
          </cell>
          <cell r="C13">
            <v>781.77645436507953</v>
          </cell>
          <cell r="D13">
            <v>1181.8788122202384</v>
          </cell>
          <cell r="E13">
            <v>16307</v>
          </cell>
          <cell r="F13">
            <v>1362.394401447619</v>
          </cell>
          <cell r="G13">
            <v>983.95286036706307</v>
          </cell>
          <cell r="H13">
            <v>534.68565476190452</v>
          </cell>
          <cell r="I13">
            <v>365.62203124999996</v>
          </cell>
          <cell r="J13">
            <v>1094.386</v>
          </cell>
          <cell r="K13">
            <v>8</v>
          </cell>
          <cell r="L13">
            <v>1003.9061270183986</v>
          </cell>
          <cell r="M13">
            <v>154</v>
          </cell>
          <cell r="N13">
            <v>25</v>
          </cell>
          <cell r="O13">
            <v>8</v>
          </cell>
          <cell r="P13">
            <v>30</v>
          </cell>
          <cell r="Q13">
            <v>60</v>
          </cell>
          <cell r="R13">
            <v>405</v>
          </cell>
          <cell r="S13">
            <v>6443</v>
          </cell>
          <cell r="T13">
            <v>509</v>
          </cell>
          <cell r="U13">
            <v>72</v>
          </cell>
          <cell r="V13">
            <v>5</v>
          </cell>
          <cell r="W13">
            <v>286</v>
          </cell>
          <cell r="X13">
            <v>13</v>
          </cell>
          <cell r="Y13">
            <v>221.16</v>
          </cell>
          <cell r="Z13">
            <v>40</v>
          </cell>
        </row>
        <row r="14">
          <cell r="A14">
            <v>10</v>
          </cell>
          <cell r="B14">
            <v>1791.4675041601183</v>
          </cell>
          <cell r="C14">
            <v>565.60282936507906</v>
          </cell>
          <cell r="D14">
            <v>834.75707857142902</v>
          </cell>
          <cell r="E14">
            <v>11417</v>
          </cell>
          <cell r="F14">
            <v>903.67059257142864</v>
          </cell>
          <cell r="G14">
            <v>600.5245614583331</v>
          </cell>
          <cell r="H14">
            <v>408.56571428571414</v>
          </cell>
          <cell r="I14">
            <v>248.015625</v>
          </cell>
          <cell r="J14">
            <v>813</v>
          </cell>
          <cell r="K14">
            <v>8</v>
          </cell>
          <cell r="L14">
            <v>628.68755833333353</v>
          </cell>
          <cell r="M14">
            <v>117</v>
          </cell>
          <cell r="N14">
            <v>17</v>
          </cell>
          <cell r="O14">
            <v>7</v>
          </cell>
          <cell r="P14">
            <v>20</v>
          </cell>
          <cell r="Q14">
            <v>41</v>
          </cell>
          <cell r="R14">
            <v>308</v>
          </cell>
          <cell r="S14">
            <v>5333</v>
          </cell>
          <cell r="T14">
            <v>346</v>
          </cell>
          <cell r="U14">
            <v>53</v>
          </cell>
          <cell r="V14">
            <v>6</v>
          </cell>
          <cell r="W14">
            <v>215</v>
          </cell>
          <cell r="X14">
            <v>14</v>
          </cell>
          <cell r="Y14">
            <v>172.13333333333333</v>
          </cell>
          <cell r="Z14">
            <v>38</v>
          </cell>
        </row>
        <row r="15">
          <cell r="A15">
            <v>11</v>
          </cell>
          <cell r="B15">
            <v>2050.5593283495241</v>
          </cell>
          <cell r="C15">
            <v>614.11094642857131</v>
          </cell>
          <cell r="D15">
            <v>985.61589452380917</v>
          </cell>
          <cell r="E15">
            <v>12261</v>
          </cell>
          <cell r="F15">
            <v>1032.5290965714287</v>
          </cell>
          <cell r="G15">
            <v>699.90567512727853</v>
          </cell>
          <cell r="H15">
            <v>478.18767857142848</v>
          </cell>
          <cell r="I15">
            <v>283.17953124999997</v>
          </cell>
          <cell r="J15">
            <v>765.48250000000007</v>
          </cell>
          <cell r="K15">
            <v>11</v>
          </cell>
          <cell r="L15">
            <v>699.00482202380942</v>
          </cell>
          <cell r="M15">
            <v>148</v>
          </cell>
          <cell r="N15">
            <v>29</v>
          </cell>
          <cell r="O15">
            <v>10</v>
          </cell>
          <cell r="P15">
            <v>31</v>
          </cell>
          <cell r="Q15">
            <v>63</v>
          </cell>
          <cell r="R15">
            <v>393</v>
          </cell>
          <cell r="S15">
            <v>5009</v>
          </cell>
          <cell r="T15">
            <v>354</v>
          </cell>
          <cell r="U15">
            <v>81</v>
          </cell>
          <cell r="V15">
            <v>7</v>
          </cell>
          <cell r="W15">
            <v>273</v>
          </cell>
          <cell r="X15">
            <v>16</v>
          </cell>
          <cell r="Y15">
            <v>189</v>
          </cell>
          <cell r="Z15">
            <v>53</v>
          </cell>
        </row>
        <row r="16">
          <cell r="A16">
            <v>12</v>
          </cell>
          <cell r="B16">
            <v>2006.063805166488</v>
          </cell>
          <cell r="C16">
            <v>624.06690277777773</v>
          </cell>
          <cell r="D16">
            <v>986.64198303571447</v>
          </cell>
          <cell r="E16">
            <v>12514</v>
          </cell>
          <cell r="F16">
            <v>952.21605295238101</v>
          </cell>
          <cell r="G16">
            <v>681.86128431210193</v>
          </cell>
          <cell r="H16">
            <v>463.76291666666646</v>
          </cell>
          <cell r="I16">
            <v>255.76000000000002</v>
          </cell>
          <cell r="J16">
            <v>908</v>
          </cell>
          <cell r="K16">
            <v>10</v>
          </cell>
          <cell r="L16">
            <v>731.49256369047612</v>
          </cell>
          <cell r="M16">
            <v>143</v>
          </cell>
          <cell r="N16">
            <v>31</v>
          </cell>
          <cell r="O16">
            <v>11</v>
          </cell>
          <cell r="P16">
            <v>25</v>
          </cell>
          <cell r="Q16">
            <v>49</v>
          </cell>
          <cell r="R16">
            <v>360</v>
          </cell>
          <cell r="S16">
            <v>5560</v>
          </cell>
          <cell r="T16">
            <v>394</v>
          </cell>
          <cell r="U16">
            <v>71</v>
          </cell>
          <cell r="V16">
            <v>8</v>
          </cell>
          <cell r="W16">
            <v>265</v>
          </cell>
          <cell r="X16">
            <v>27</v>
          </cell>
          <cell r="Y16">
            <v>188</v>
          </cell>
          <cell r="Z16">
            <v>52</v>
          </cell>
        </row>
      </sheetData>
      <sheetData sheetId="5">
        <row r="5">
          <cell r="B5">
            <v>1</v>
          </cell>
          <cell r="C5">
            <v>2192</v>
          </cell>
          <cell r="D5">
            <v>0</v>
          </cell>
          <cell r="E5">
            <v>0</v>
          </cell>
          <cell r="F5">
            <v>0</v>
          </cell>
          <cell r="G5">
            <v>11</v>
          </cell>
          <cell r="H5">
            <v>678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912</v>
          </cell>
          <cell r="N5">
            <v>6</v>
          </cell>
          <cell r="O5">
            <v>7</v>
          </cell>
          <cell r="P5">
            <v>0</v>
          </cell>
          <cell r="Q5">
            <v>6</v>
          </cell>
          <cell r="R5">
            <v>10262</v>
          </cell>
          <cell r="S5">
            <v>71</v>
          </cell>
          <cell r="T5">
            <v>614</v>
          </cell>
          <cell r="U5">
            <v>0</v>
          </cell>
          <cell r="V5">
            <v>531</v>
          </cell>
          <cell r="W5">
            <v>0</v>
          </cell>
          <cell r="X5">
            <v>3</v>
          </cell>
          <cell r="Y5">
            <v>116</v>
          </cell>
          <cell r="Z5">
            <v>8</v>
          </cell>
          <cell r="AA5">
            <v>24</v>
          </cell>
          <cell r="AB5">
            <v>368</v>
          </cell>
          <cell r="AC5">
            <v>23</v>
          </cell>
          <cell r="AD5">
            <v>47</v>
          </cell>
          <cell r="AE5">
            <v>0</v>
          </cell>
          <cell r="AF5">
            <v>32</v>
          </cell>
          <cell r="AG5">
            <v>33</v>
          </cell>
          <cell r="AH5">
            <v>1</v>
          </cell>
          <cell r="AI5">
            <v>8</v>
          </cell>
          <cell r="AJ5">
            <v>0</v>
          </cell>
          <cell r="AK5">
            <v>2</v>
          </cell>
          <cell r="AL5">
            <v>221</v>
          </cell>
          <cell r="AM5">
            <v>0</v>
          </cell>
          <cell r="AN5">
            <v>3</v>
          </cell>
          <cell r="AO5">
            <v>0</v>
          </cell>
          <cell r="AP5">
            <v>2</v>
          </cell>
          <cell r="AQ5">
            <v>178</v>
          </cell>
          <cell r="AR5">
            <v>11</v>
          </cell>
          <cell r="AS5">
            <v>73</v>
          </cell>
          <cell r="AT5">
            <v>0</v>
          </cell>
          <cell r="AU5">
            <v>10</v>
          </cell>
          <cell r="AV5">
            <v>19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148</v>
          </cell>
          <cell r="BB5">
            <v>13</v>
          </cell>
          <cell r="BC5">
            <v>7</v>
          </cell>
          <cell r="BD5">
            <v>0</v>
          </cell>
          <cell r="BE5">
            <v>4</v>
          </cell>
          <cell r="BF5">
            <v>58</v>
          </cell>
          <cell r="BG5">
            <v>0</v>
          </cell>
          <cell r="BH5">
            <v>0</v>
          </cell>
          <cell r="BI5">
            <v>0</v>
          </cell>
          <cell r="BJ5">
            <v>2</v>
          </cell>
          <cell r="BK5">
            <v>9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529</v>
          </cell>
          <cell r="BQ5">
            <v>1</v>
          </cell>
          <cell r="BR5">
            <v>43</v>
          </cell>
          <cell r="BS5">
            <v>0</v>
          </cell>
          <cell r="BT5">
            <v>79</v>
          </cell>
          <cell r="BU5">
            <v>3</v>
          </cell>
          <cell r="BV5">
            <v>0</v>
          </cell>
          <cell r="BW5">
            <v>1</v>
          </cell>
          <cell r="BX5">
            <v>0</v>
          </cell>
          <cell r="BY5">
            <v>0</v>
          </cell>
          <cell r="BZ5">
            <v>447</v>
          </cell>
          <cell r="CA5">
            <v>1</v>
          </cell>
          <cell r="CB5">
            <v>25</v>
          </cell>
          <cell r="CC5">
            <v>0</v>
          </cell>
          <cell r="CD5">
            <v>29</v>
          </cell>
          <cell r="CE5">
            <v>12</v>
          </cell>
          <cell r="CF5">
            <v>4</v>
          </cell>
          <cell r="CG5">
            <v>4</v>
          </cell>
          <cell r="CH5">
            <v>0</v>
          </cell>
          <cell r="CI5">
            <v>6</v>
          </cell>
          <cell r="CJ5">
            <v>15</v>
          </cell>
          <cell r="CK5">
            <v>0</v>
          </cell>
          <cell r="CL5">
            <v>1</v>
          </cell>
          <cell r="CM5">
            <v>0</v>
          </cell>
          <cell r="CN5">
            <v>0</v>
          </cell>
          <cell r="CO5">
            <v>6</v>
          </cell>
          <cell r="CP5">
            <v>0</v>
          </cell>
          <cell r="CQ5">
            <v>1</v>
          </cell>
          <cell r="CR5">
            <v>0</v>
          </cell>
          <cell r="CS5">
            <v>1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13</v>
          </cell>
          <cell r="CZ5">
            <v>0</v>
          </cell>
          <cell r="DA5">
            <v>1</v>
          </cell>
          <cell r="DB5">
            <v>0</v>
          </cell>
          <cell r="DC5">
            <v>0</v>
          </cell>
          <cell r="DD5">
            <v>50</v>
          </cell>
          <cell r="DE5">
            <v>1</v>
          </cell>
          <cell r="DF5">
            <v>4</v>
          </cell>
          <cell r="DG5">
            <v>0</v>
          </cell>
          <cell r="DH5">
            <v>4</v>
          </cell>
          <cell r="DI5">
            <v>0</v>
          </cell>
          <cell r="DJ5">
            <v>0</v>
          </cell>
          <cell r="DK5">
            <v>5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11</v>
          </cell>
          <cell r="DQ5">
            <v>0</v>
          </cell>
          <cell r="DR5">
            <v>7</v>
          </cell>
          <cell r="DS5">
            <v>2334</v>
          </cell>
          <cell r="DT5">
            <v>75</v>
          </cell>
          <cell r="DU5">
            <v>234</v>
          </cell>
          <cell r="DV5">
            <v>0</v>
          </cell>
          <cell r="DW5">
            <v>81</v>
          </cell>
          <cell r="DX5">
            <v>1308</v>
          </cell>
          <cell r="DY5">
            <v>1</v>
          </cell>
          <cell r="DZ5">
            <v>114</v>
          </cell>
          <cell r="EA5">
            <v>0</v>
          </cell>
          <cell r="EB5">
            <v>66</v>
          </cell>
          <cell r="EC5">
            <v>114</v>
          </cell>
          <cell r="ED5">
            <v>3</v>
          </cell>
          <cell r="EE5">
            <v>35</v>
          </cell>
          <cell r="EF5">
            <v>0</v>
          </cell>
          <cell r="EG5">
            <v>18</v>
          </cell>
          <cell r="EH5">
            <v>28</v>
          </cell>
          <cell r="EI5">
            <v>0</v>
          </cell>
          <cell r="EJ5">
            <v>7</v>
          </cell>
          <cell r="EK5">
            <v>0</v>
          </cell>
          <cell r="EL5">
            <v>1</v>
          </cell>
          <cell r="EM5">
            <v>0</v>
          </cell>
          <cell r="EN5">
            <v>3</v>
          </cell>
          <cell r="EO5">
            <v>2</v>
          </cell>
          <cell r="EP5">
            <v>0</v>
          </cell>
          <cell r="EQ5">
            <v>0</v>
          </cell>
          <cell r="ER5">
            <v>33</v>
          </cell>
          <cell r="ES5">
            <v>3</v>
          </cell>
          <cell r="ET5">
            <v>9</v>
          </cell>
          <cell r="EU5">
            <v>0</v>
          </cell>
          <cell r="EV5">
            <v>10</v>
          </cell>
          <cell r="EW5">
            <v>5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127</v>
          </cell>
          <cell r="FC5">
            <v>3</v>
          </cell>
          <cell r="FD5">
            <v>6</v>
          </cell>
          <cell r="FE5">
            <v>0</v>
          </cell>
          <cell r="FF5">
            <v>5</v>
          </cell>
          <cell r="FG5">
            <v>14</v>
          </cell>
          <cell r="FH5">
            <v>4</v>
          </cell>
          <cell r="FI5">
            <v>2</v>
          </cell>
          <cell r="FJ5">
            <v>0</v>
          </cell>
          <cell r="FK5">
            <v>0</v>
          </cell>
          <cell r="FL5">
            <v>15</v>
          </cell>
          <cell r="FM5">
            <v>15</v>
          </cell>
          <cell r="FN5">
            <v>11</v>
          </cell>
          <cell r="FO5">
            <v>0</v>
          </cell>
          <cell r="FP5">
            <v>12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20</v>
          </cell>
          <cell r="FW5">
            <v>0</v>
          </cell>
          <cell r="FX5">
            <v>18</v>
          </cell>
          <cell r="FY5">
            <v>0</v>
          </cell>
          <cell r="FZ5">
            <v>5</v>
          </cell>
          <cell r="GA5">
            <v>22</v>
          </cell>
          <cell r="GB5">
            <v>2</v>
          </cell>
          <cell r="GC5">
            <v>3</v>
          </cell>
          <cell r="GD5">
            <v>0</v>
          </cell>
          <cell r="GE5">
            <v>0</v>
          </cell>
        </row>
        <row r="6">
          <cell r="B6">
            <v>2</v>
          </cell>
          <cell r="C6">
            <v>1278</v>
          </cell>
          <cell r="D6">
            <v>0</v>
          </cell>
          <cell r="E6">
            <v>0</v>
          </cell>
          <cell r="F6">
            <v>0</v>
          </cell>
          <cell r="G6">
            <v>2</v>
          </cell>
          <cell r="H6">
            <v>343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522</v>
          </cell>
          <cell r="N6">
            <v>4</v>
          </cell>
          <cell r="O6">
            <v>10</v>
          </cell>
          <cell r="P6">
            <v>0</v>
          </cell>
          <cell r="Q6">
            <v>7</v>
          </cell>
          <cell r="R6">
            <v>5882</v>
          </cell>
          <cell r="S6">
            <v>50</v>
          </cell>
          <cell r="T6">
            <v>456</v>
          </cell>
          <cell r="U6">
            <v>0</v>
          </cell>
          <cell r="V6">
            <v>265</v>
          </cell>
          <cell r="W6">
            <v>0</v>
          </cell>
          <cell r="X6">
            <v>5</v>
          </cell>
          <cell r="Y6">
            <v>138</v>
          </cell>
          <cell r="Z6">
            <v>0</v>
          </cell>
          <cell r="AA6">
            <v>40</v>
          </cell>
          <cell r="AB6">
            <v>199</v>
          </cell>
          <cell r="AC6">
            <v>15</v>
          </cell>
          <cell r="AD6">
            <v>35</v>
          </cell>
          <cell r="AE6">
            <v>0</v>
          </cell>
          <cell r="AF6">
            <v>17</v>
          </cell>
          <cell r="AG6">
            <v>29</v>
          </cell>
          <cell r="AH6">
            <v>0</v>
          </cell>
          <cell r="AI6">
            <v>1</v>
          </cell>
          <cell r="AJ6">
            <v>0</v>
          </cell>
          <cell r="AK6">
            <v>1</v>
          </cell>
          <cell r="AL6">
            <v>145</v>
          </cell>
          <cell r="AM6">
            <v>0</v>
          </cell>
          <cell r="AN6">
            <v>1</v>
          </cell>
          <cell r="AO6">
            <v>0</v>
          </cell>
          <cell r="AP6">
            <v>1</v>
          </cell>
          <cell r="AQ6">
            <v>105</v>
          </cell>
          <cell r="AR6">
            <v>21</v>
          </cell>
          <cell r="AS6">
            <v>52</v>
          </cell>
          <cell r="AT6">
            <v>0</v>
          </cell>
          <cell r="AU6">
            <v>12</v>
          </cell>
          <cell r="AV6">
            <v>15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93</v>
          </cell>
          <cell r="BB6">
            <v>15</v>
          </cell>
          <cell r="BC6">
            <v>7</v>
          </cell>
          <cell r="BD6">
            <v>0</v>
          </cell>
          <cell r="BE6">
            <v>4</v>
          </cell>
          <cell r="BF6">
            <v>30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3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279</v>
          </cell>
          <cell r="BQ6">
            <v>2</v>
          </cell>
          <cell r="BR6">
            <v>63</v>
          </cell>
          <cell r="BS6">
            <v>0</v>
          </cell>
          <cell r="BT6">
            <v>43</v>
          </cell>
          <cell r="BU6">
            <v>2</v>
          </cell>
          <cell r="BV6">
            <v>0</v>
          </cell>
          <cell r="BW6">
            <v>1</v>
          </cell>
          <cell r="BX6">
            <v>0</v>
          </cell>
          <cell r="BY6">
            <v>0</v>
          </cell>
          <cell r="BZ6">
            <v>269</v>
          </cell>
          <cell r="CA6">
            <v>6</v>
          </cell>
          <cell r="CB6">
            <v>28</v>
          </cell>
          <cell r="CC6">
            <v>0</v>
          </cell>
          <cell r="CD6">
            <v>21</v>
          </cell>
          <cell r="CE6">
            <v>10</v>
          </cell>
          <cell r="CF6">
            <v>2</v>
          </cell>
          <cell r="CG6">
            <v>22</v>
          </cell>
          <cell r="CH6">
            <v>0</v>
          </cell>
          <cell r="CI6">
            <v>6</v>
          </cell>
          <cell r="CJ6">
            <v>8</v>
          </cell>
          <cell r="CK6">
            <v>0</v>
          </cell>
          <cell r="CL6">
            <v>1</v>
          </cell>
          <cell r="CM6">
            <v>0</v>
          </cell>
          <cell r="CN6">
            <v>2</v>
          </cell>
          <cell r="CO6">
            <v>2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12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23</v>
          </cell>
          <cell r="DE6">
            <v>6</v>
          </cell>
          <cell r="DF6">
            <v>5</v>
          </cell>
          <cell r="DG6">
            <v>0</v>
          </cell>
          <cell r="DH6">
            <v>4</v>
          </cell>
          <cell r="DI6">
            <v>0</v>
          </cell>
          <cell r="DJ6">
            <v>0</v>
          </cell>
          <cell r="DK6">
            <v>4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18</v>
          </cell>
          <cell r="DQ6">
            <v>0</v>
          </cell>
          <cell r="DR6">
            <v>3</v>
          </cell>
          <cell r="DS6">
            <v>1347</v>
          </cell>
          <cell r="DT6">
            <v>64</v>
          </cell>
          <cell r="DU6">
            <v>307</v>
          </cell>
          <cell r="DV6">
            <v>0</v>
          </cell>
          <cell r="DW6">
            <v>112</v>
          </cell>
          <cell r="DX6">
            <v>816</v>
          </cell>
          <cell r="DY6">
            <v>7</v>
          </cell>
          <cell r="DZ6">
            <v>147</v>
          </cell>
          <cell r="EA6">
            <v>0</v>
          </cell>
          <cell r="EB6">
            <v>47</v>
          </cell>
          <cell r="EC6">
            <v>67</v>
          </cell>
          <cell r="ED6">
            <v>2</v>
          </cell>
          <cell r="EE6">
            <v>31</v>
          </cell>
          <cell r="EF6">
            <v>0</v>
          </cell>
          <cell r="EG6">
            <v>18</v>
          </cell>
          <cell r="EH6">
            <v>35</v>
          </cell>
          <cell r="EI6">
            <v>0</v>
          </cell>
          <cell r="EJ6">
            <v>24</v>
          </cell>
          <cell r="EK6">
            <v>0</v>
          </cell>
          <cell r="EL6">
            <v>9</v>
          </cell>
          <cell r="EM6">
            <v>3</v>
          </cell>
          <cell r="EN6">
            <v>4</v>
          </cell>
          <cell r="EO6">
            <v>1</v>
          </cell>
          <cell r="EP6">
            <v>0</v>
          </cell>
          <cell r="EQ6">
            <v>1</v>
          </cell>
          <cell r="ER6">
            <v>23</v>
          </cell>
          <cell r="ES6">
            <v>2</v>
          </cell>
          <cell r="ET6">
            <v>12</v>
          </cell>
          <cell r="EU6">
            <v>0</v>
          </cell>
          <cell r="EV6">
            <v>5</v>
          </cell>
          <cell r="EW6">
            <v>2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72</v>
          </cell>
          <cell r="FC6">
            <v>5</v>
          </cell>
          <cell r="FD6">
            <v>22</v>
          </cell>
          <cell r="FE6">
            <v>0</v>
          </cell>
          <cell r="FF6">
            <v>11</v>
          </cell>
          <cell r="FG6">
            <v>16</v>
          </cell>
          <cell r="FH6">
            <v>5</v>
          </cell>
          <cell r="FI6">
            <v>1</v>
          </cell>
          <cell r="FJ6">
            <v>0</v>
          </cell>
          <cell r="FK6">
            <v>0</v>
          </cell>
          <cell r="FL6">
            <v>11</v>
          </cell>
          <cell r="FM6">
            <v>8</v>
          </cell>
          <cell r="FN6">
            <v>17</v>
          </cell>
          <cell r="FO6">
            <v>0</v>
          </cell>
          <cell r="FP6">
            <v>3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8</v>
          </cell>
          <cell r="FW6">
            <v>0</v>
          </cell>
          <cell r="FX6">
            <v>6</v>
          </cell>
          <cell r="FY6">
            <v>0</v>
          </cell>
          <cell r="FZ6">
            <v>4</v>
          </cell>
          <cell r="GA6">
            <v>18</v>
          </cell>
          <cell r="GB6">
            <v>4</v>
          </cell>
          <cell r="GC6">
            <v>4</v>
          </cell>
          <cell r="GD6">
            <v>0</v>
          </cell>
          <cell r="GE6">
            <v>2</v>
          </cell>
        </row>
        <row r="7">
          <cell r="B7">
            <v>3</v>
          </cell>
          <cell r="C7">
            <v>1049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296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439</v>
          </cell>
          <cell r="N7">
            <v>2</v>
          </cell>
          <cell r="O7">
            <v>15</v>
          </cell>
          <cell r="P7">
            <v>0</v>
          </cell>
          <cell r="Q7">
            <v>4</v>
          </cell>
          <cell r="R7">
            <v>4746</v>
          </cell>
          <cell r="S7">
            <v>11</v>
          </cell>
          <cell r="T7">
            <v>171</v>
          </cell>
          <cell r="U7">
            <v>0</v>
          </cell>
          <cell r="V7">
            <v>57</v>
          </cell>
          <cell r="W7">
            <v>0</v>
          </cell>
          <cell r="X7">
            <v>3</v>
          </cell>
          <cell r="Y7">
            <v>27</v>
          </cell>
          <cell r="Z7">
            <v>0</v>
          </cell>
          <cell r="AA7">
            <v>18</v>
          </cell>
          <cell r="AB7">
            <v>168</v>
          </cell>
          <cell r="AC7">
            <v>5</v>
          </cell>
          <cell r="AD7">
            <v>40</v>
          </cell>
          <cell r="AE7">
            <v>0</v>
          </cell>
          <cell r="AF7">
            <v>9</v>
          </cell>
          <cell r="AG7">
            <v>17</v>
          </cell>
          <cell r="AH7">
            <v>4</v>
          </cell>
          <cell r="AI7">
            <v>5</v>
          </cell>
          <cell r="AJ7">
            <v>0</v>
          </cell>
          <cell r="AK7">
            <v>3</v>
          </cell>
          <cell r="AL7">
            <v>99</v>
          </cell>
          <cell r="AM7">
            <v>0</v>
          </cell>
          <cell r="AN7">
            <v>0</v>
          </cell>
          <cell r="AO7">
            <v>0</v>
          </cell>
          <cell r="AP7">
            <v>1</v>
          </cell>
          <cell r="AQ7">
            <v>72</v>
          </cell>
          <cell r="AR7">
            <v>5</v>
          </cell>
          <cell r="AS7">
            <v>52</v>
          </cell>
          <cell r="AT7">
            <v>0</v>
          </cell>
          <cell r="AU7">
            <v>6</v>
          </cell>
          <cell r="AV7">
            <v>14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78</v>
          </cell>
          <cell r="BB7">
            <v>5</v>
          </cell>
          <cell r="BC7">
            <v>3</v>
          </cell>
          <cell r="BD7">
            <v>0</v>
          </cell>
          <cell r="BE7">
            <v>1</v>
          </cell>
          <cell r="BF7">
            <v>24</v>
          </cell>
          <cell r="BG7">
            <v>0</v>
          </cell>
          <cell r="BH7">
            <v>0</v>
          </cell>
          <cell r="BI7">
            <v>0</v>
          </cell>
          <cell r="BJ7">
            <v>1</v>
          </cell>
          <cell r="BK7">
            <v>2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253</v>
          </cell>
          <cell r="BQ7">
            <v>0</v>
          </cell>
          <cell r="BR7">
            <v>59</v>
          </cell>
          <cell r="BS7">
            <v>0</v>
          </cell>
          <cell r="BT7">
            <v>31</v>
          </cell>
          <cell r="BU7">
            <v>3</v>
          </cell>
          <cell r="BV7">
            <v>1</v>
          </cell>
          <cell r="BW7">
            <v>0</v>
          </cell>
          <cell r="BX7">
            <v>0</v>
          </cell>
          <cell r="BY7">
            <v>0</v>
          </cell>
          <cell r="BZ7">
            <v>208</v>
          </cell>
          <cell r="CA7">
            <v>0</v>
          </cell>
          <cell r="CB7">
            <v>24</v>
          </cell>
          <cell r="CC7">
            <v>0</v>
          </cell>
          <cell r="CD7">
            <v>12</v>
          </cell>
          <cell r="CE7">
            <v>5</v>
          </cell>
          <cell r="CF7">
            <v>3</v>
          </cell>
          <cell r="CG7">
            <v>5</v>
          </cell>
          <cell r="CH7">
            <v>0</v>
          </cell>
          <cell r="CI7">
            <v>3</v>
          </cell>
          <cell r="CJ7">
            <v>4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1</v>
          </cell>
          <cell r="CP7">
            <v>1</v>
          </cell>
          <cell r="CQ7">
            <v>0</v>
          </cell>
          <cell r="CR7">
            <v>0</v>
          </cell>
          <cell r="CS7">
            <v>0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7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11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11</v>
          </cell>
          <cell r="DQ7">
            <v>0</v>
          </cell>
          <cell r="DR7">
            <v>0</v>
          </cell>
          <cell r="DS7">
            <v>1256</v>
          </cell>
          <cell r="DT7">
            <v>32</v>
          </cell>
          <cell r="DU7">
            <v>171</v>
          </cell>
          <cell r="DV7">
            <v>0</v>
          </cell>
          <cell r="DW7">
            <v>37</v>
          </cell>
          <cell r="DX7">
            <v>622</v>
          </cell>
          <cell r="DY7">
            <v>0</v>
          </cell>
          <cell r="DZ7">
            <v>73</v>
          </cell>
          <cell r="EA7">
            <v>0</v>
          </cell>
          <cell r="EB7">
            <v>11</v>
          </cell>
          <cell r="EC7">
            <v>52</v>
          </cell>
          <cell r="ED7">
            <v>1</v>
          </cell>
          <cell r="EE7">
            <v>31</v>
          </cell>
          <cell r="EF7">
            <v>0</v>
          </cell>
          <cell r="EG7">
            <v>28</v>
          </cell>
          <cell r="EH7">
            <v>13</v>
          </cell>
          <cell r="EI7">
            <v>0</v>
          </cell>
          <cell r="EJ7">
            <v>1</v>
          </cell>
          <cell r="EK7">
            <v>0</v>
          </cell>
          <cell r="EL7">
            <v>1</v>
          </cell>
          <cell r="EM7">
            <v>0</v>
          </cell>
          <cell r="EN7">
            <v>3</v>
          </cell>
          <cell r="EO7">
            <v>3</v>
          </cell>
          <cell r="EP7">
            <v>0</v>
          </cell>
          <cell r="EQ7">
            <v>0</v>
          </cell>
          <cell r="ER7">
            <v>17</v>
          </cell>
          <cell r="ES7">
            <v>1</v>
          </cell>
          <cell r="ET7">
            <v>4</v>
          </cell>
          <cell r="EU7">
            <v>0</v>
          </cell>
          <cell r="EV7">
            <v>0</v>
          </cell>
          <cell r="EW7">
            <v>2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69</v>
          </cell>
          <cell r="FC7">
            <v>4</v>
          </cell>
          <cell r="FD7">
            <v>10</v>
          </cell>
          <cell r="FE7">
            <v>0</v>
          </cell>
          <cell r="FF7">
            <v>4</v>
          </cell>
          <cell r="FG7">
            <v>6</v>
          </cell>
          <cell r="FH7">
            <v>1</v>
          </cell>
          <cell r="FI7">
            <v>1</v>
          </cell>
          <cell r="FJ7">
            <v>0</v>
          </cell>
          <cell r="FK7">
            <v>1</v>
          </cell>
          <cell r="FL7">
            <v>9</v>
          </cell>
          <cell r="FM7">
            <v>6</v>
          </cell>
          <cell r="FN7">
            <v>14</v>
          </cell>
          <cell r="FO7">
            <v>0</v>
          </cell>
          <cell r="FP7">
            <v>7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</v>
          </cell>
          <cell r="FV7">
            <v>8</v>
          </cell>
          <cell r="FW7">
            <v>0</v>
          </cell>
          <cell r="FX7">
            <v>2</v>
          </cell>
          <cell r="FY7">
            <v>1</v>
          </cell>
          <cell r="FZ7">
            <v>1</v>
          </cell>
          <cell r="GA7">
            <v>9</v>
          </cell>
          <cell r="GB7">
            <v>1</v>
          </cell>
          <cell r="GC7">
            <v>0</v>
          </cell>
          <cell r="GD7">
            <v>0</v>
          </cell>
          <cell r="GE7">
            <v>0</v>
          </cell>
        </row>
        <row r="8">
          <cell r="B8">
            <v>4</v>
          </cell>
          <cell r="C8">
            <v>1664</v>
          </cell>
          <cell r="D8">
            <v>0</v>
          </cell>
          <cell r="E8">
            <v>0</v>
          </cell>
          <cell r="F8">
            <v>0</v>
          </cell>
          <cell r="G8">
            <v>13</v>
          </cell>
          <cell r="H8">
            <v>500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664</v>
          </cell>
          <cell r="N8">
            <v>5</v>
          </cell>
          <cell r="O8">
            <v>10</v>
          </cell>
          <cell r="P8">
            <v>0</v>
          </cell>
          <cell r="Q8">
            <v>0</v>
          </cell>
          <cell r="R8">
            <v>7851</v>
          </cell>
          <cell r="S8">
            <v>53</v>
          </cell>
          <cell r="T8">
            <v>246</v>
          </cell>
          <cell r="U8">
            <v>0</v>
          </cell>
          <cell r="V8">
            <v>296</v>
          </cell>
          <cell r="W8">
            <v>0</v>
          </cell>
          <cell r="X8">
            <v>10</v>
          </cell>
          <cell r="Y8">
            <v>225</v>
          </cell>
          <cell r="Z8">
            <v>0</v>
          </cell>
          <cell r="AA8">
            <v>65</v>
          </cell>
          <cell r="AB8">
            <v>204</v>
          </cell>
          <cell r="AC8">
            <v>15</v>
          </cell>
          <cell r="AD8">
            <v>53</v>
          </cell>
          <cell r="AE8">
            <v>0</v>
          </cell>
          <cell r="AF8">
            <v>25</v>
          </cell>
          <cell r="AG8">
            <v>41</v>
          </cell>
          <cell r="AH8">
            <v>3</v>
          </cell>
          <cell r="AI8">
            <v>4</v>
          </cell>
          <cell r="AJ8">
            <v>0</v>
          </cell>
          <cell r="AK8">
            <v>5</v>
          </cell>
          <cell r="AL8">
            <v>188</v>
          </cell>
          <cell r="AM8">
            <v>0</v>
          </cell>
          <cell r="AN8">
            <v>0</v>
          </cell>
          <cell r="AO8">
            <v>0</v>
          </cell>
          <cell r="AP8">
            <v>2</v>
          </cell>
          <cell r="AQ8">
            <v>134</v>
          </cell>
          <cell r="AR8">
            <v>25</v>
          </cell>
          <cell r="AS8">
            <v>62</v>
          </cell>
          <cell r="AT8">
            <v>0</v>
          </cell>
          <cell r="AU8">
            <v>9</v>
          </cell>
          <cell r="AV8">
            <v>26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124</v>
          </cell>
          <cell r="BB8">
            <v>5</v>
          </cell>
          <cell r="BC8">
            <v>0</v>
          </cell>
          <cell r="BD8">
            <v>0</v>
          </cell>
          <cell r="BE8">
            <v>0</v>
          </cell>
          <cell r="BF8">
            <v>45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2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432</v>
          </cell>
          <cell r="BQ8">
            <v>2</v>
          </cell>
          <cell r="BR8">
            <v>28</v>
          </cell>
          <cell r="BS8">
            <v>0</v>
          </cell>
          <cell r="BT8">
            <v>69</v>
          </cell>
          <cell r="BU8">
            <v>6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330</v>
          </cell>
          <cell r="CA8">
            <v>10</v>
          </cell>
          <cell r="CB8">
            <v>20</v>
          </cell>
          <cell r="CC8">
            <v>0</v>
          </cell>
          <cell r="CD8">
            <v>14</v>
          </cell>
          <cell r="CE8">
            <v>4</v>
          </cell>
          <cell r="CF8">
            <v>3</v>
          </cell>
          <cell r="CG8">
            <v>7</v>
          </cell>
          <cell r="CH8">
            <v>0</v>
          </cell>
          <cell r="CI8">
            <v>5</v>
          </cell>
          <cell r="CJ8">
            <v>8</v>
          </cell>
          <cell r="CK8">
            <v>0</v>
          </cell>
          <cell r="CL8">
            <v>1</v>
          </cell>
          <cell r="CM8">
            <v>0</v>
          </cell>
          <cell r="CN8">
            <v>1</v>
          </cell>
          <cell r="CO8">
            <v>4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1</v>
          </cell>
          <cell r="CY8">
            <v>13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11</v>
          </cell>
          <cell r="DE8">
            <v>1</v>
          </cell>
          <cell r="DF8">
            <v>0</v>
          </cell>
          <cell r="DG8">
            <v>0</v>
          </cell>
          <cell r="DH8">
            <v>1</v>
          </cell>
          <cell r="DI8">
            <v>0</v>
          </cell>
          <cell r="DJ8">
            <v>0</v>
          </cell>
          <cell r="DK8">
            <v>8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4</v>
          </cell>
          <cell r="DQ8">
            <v>0</v>
          </cell>
          <cell r="DR8">
            <v>5</v>
          </cell>
          <cell r="DS8">
            <v>1665</v>
          </cell>
          <cell r="DT8">
            <v>59</v>
          </cell>
          <cell r="DU8">
            <v>237</v>
          </cell>
          <cell r="DV8">
            <v>0</v>
          </cell>
          <cell r="DW8">
            <v>91</v>
          </cell>
          <cell r="DX8">
            <v>875</v>
          </cell>
          <cell r="DY8">
            <v>6</v>
          </cell>
          <cell r="DZ8">
            <v>40</v>
          </cell>
          <cell r="EA8">
            <v>0</v>
          </cell>
          <cell r="EB8">
            <v>24</v>
          </cell>
          <cell r="EC8">
            <v>75</v>
          </cell>
          <cell r="ED8">
            <v>11</v>
          </cell>
          <cell r="EE8">
            <v>46</v>
          </cell>
          <cell r="EF8">
            <v>0</v>
          </cell>
          <cell r="EG8">
            <v>21</v>
          </cell>
          <cell r="EH8">
            <v>21</v>
          </cell>
          <cell r="EI8">
            <v>0</v>
          </cell>
          <cell r="EJ8">
            <v>2</v>
          </cell>
          <cell r="EK8">
            <v>0</v>
          </cell>
          <cell r="EL8">
            <v>3</v>
          </cell>
          <cell r="EM8">
            <v>0</v>
          </cell>
          <cell r="EN8">
            <v>4</v>
          </cell>
          <cell r="EO8">
            <v>0</v>
          </cell>
          <cell r="EP8">
            <v>0</v>
          </cell>
          <cell r="EQ8">
            <v>1</v>
          </cell>
          <cell r="ER8">
            <v>34</v>
          </cell>
          <cell r="ES8">
            <v>1</v>
          </cell>
          <cell r="ET8">
            <v>2</v>
          </cell>
          <cell r="EU8">
            <v>0</v>
          </cell>
          <cell r="EV8">
            <v>7</v>
          </cell>
          <cell r="EW8">
            <v>2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102</v>
          </cell>
          <cell r="FC8">
            <v>5</v>
          </cell>
          <cell r="FD8">
            <v>4</v>
          </cell>
          <cell r="FE8">
            <v>0</v>
          </cell>
          <cell r="FF8">
            <v>8</v>
          </cell>
          <cell r="FG8">
            <v>8</v>
          </cell>
          <cell r="FH8">
            <v>2</v>
          </cell>
          <cell r="FI8">
            <v>0</v>
          </cell>
          <cell r="FJ8">
            <v>0</v>
          </cell>
          <cell r="FK8">
            <v>0</v>
          </cell>
          <cell r="FL8">
            <v>17</v>
          </cell>
          <cell r="FM8">
            <v>24</v>
          </cell>
          <cell r="FN8">
            <v>8</v>
          </cell>
          <cell r="FO8">
            <v>0</v>
          </cell>
          <cell r="FP8">
            <v>7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9</v>
          </cell>
          <cell r="FW8">
            <v>4</v>
          </cell>
          <cell r="FX8">
            <v>4</v>
          </cell>
          <cell r="FY8">
            <v>0</v>
          </cell>
          <cell r="FZ8">
            <v>0</v>
          </cell>
          <cell r="GA8">
            <v>24</v>
          </cell>
          <cell r="GB8">
            <v>8</v>
          </cell>
          <cell r="GC8">
            <v>2</v>
          </cell>
          <cell r="GD8">
            <v>0</v>
          </cell>
          <cell r="GE8">
            <v>2</v>
          </cell>
        </row>
        <row r="9">
          <cell r="B9">
            <v>5</v>
          </cell>
          <cell r="C9">
            <v>1904</v>
          </cell>
          <cell r="D9">
            <v>0</v>
          </cell>
          <cell r="E9">
            <v>2</v>
          </cell>
          <cell r="F9">
            <v>0</v>
          </cell>
          <cell r="G9">
            <v>18</v>
          </cell>
          <cell r="H9">
            <v>600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775</v>
          </cell>
          <cell r="N9">
            <v>9</v>
          </cell>
          <cell r="O9">
            <v>11</v>
          </cell>
          <cell r="P9">
            <v>0</v>
          </cell>
          <cell r="Q9">
            <v>5</v>
          </cell>
          <cell r="R9">
            <v>8915</v>
          </cell>
          <cell r="S9">
            <v>37</v>
          </cell>
          <cell r="T9">
            <v>392</v>
          </cell>
          <cell r="U9">
            <v>0</v>
          </cell>
          <cell r="V9">
            <v>364</v>
          </cell>
          <cell r="W9">
            <v>0</v>
          </cell>
          <cell r="X9">
            <v>7</v>
          </cell>
          <cell r="Y9">
            <v>317</v>
          </cell>
          <cell r="Z9">
            <v>0</v>
          </cell>
          <cell r="AA9">
            <v>10</v>
          </cell>
          <cell r="AB9">
            <v>232</v>
          </cell>
          <cell r="AC9">
            <v>31</v>
          </cell>
          <cell r="AD9">
            <v>51</v>
          </cell>
          <cell r="AE9">
            <v>0</v>
          </cell>
          <cell r="AF9">
            <v>16</v>
          </cell>
          <cell r="AG9">
            <v>49</v>
          </cell>
          <cell r="AH9">
            <v>8</v>
          </cell>
          <cell r="AI9">
            <v>6</v>
          </cell>
          <cell r="AJ9">
            <v>0</v>
          </cell>
          <cell r="AK9">
            <v>1</v>
          </cell>
          <cell r="AL9">
            <v>214</v>
          </cell>
          <cell r="AM9">
            <v>0</v>
          </cell>
          <cell r="AN9">
            <v>0</v>
          </cell>
          <cell r="AO9">
            <v>0</v>
          </cell>
          <cell r="AP9">
            <v>7</v>
          </cell>
          <cell r="AQ9">
            <v>139</v>
          </cell>
          <cell r="AR9">
            <v>32</v>
          </cell>
          <cell r="AS9">
            <v>67</v>
          </cell>
          <cell r="AT9">
            <v>0</v>
          </cell>
          <cell r="AU9">
            <v>22</v>
          </cell>
          <cell r="AV9">
            <v>27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127</v>
          </cell>
          <cell r="BB9">
            <v>9</v>
          </cell>
          <cell r="BC9">
            <v>1</v>
          </cell>
          <cell r="BD9">
            <v>0</v>
          </cell>
          <cell r="BE9">
            <v>0</v>
          </cell>
          <cell r="BF9">
            <v>50</v>
          </cell>
          <cell r="BG9">
            <v>0</v>
          </cell>
          <cell r="BH9">
            <v>1</v>
          </cell>
          <cell r="BI9">
            <v>0</v>
          </cell>
          <cell r="BJ9">
            <v>0</v>
          </cell>
          <cell r="BK9">
            <v>4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422</v>
          </cell>
          <cell r="BQ9">
            <v>2</v>
          </cell>
          <cell r="BR9">
            <v>61</v>
          </cell>
          <cell r="BS9">
            <v>0</v>
          </cell>
          <cell r="BT9">
            <v>109</v>
          </cell>
          <cell r="BU9">
            <v>5</v>
          </cell>
          <cell r="BV9">
            <v>1</v>
          </cell>
          <cell r="BW9">
            <v>1</v>
          </cell>
          <cell r="BX9">
            <v>0</v>
          </cell>
          <cell r="BY9">
            <v>0</v>
          </cell>
          <cell r="BZ9">
            <v>391</v>
          </cell>
          <cell r="CA9">
            <v>3</v>
          </cell>
          <cell r="CB9">
            <v>19</v>
          </cell>
          <cell r="CC9">
            <v>0</v>
          </cell>
          <cell r="CD9">
            <v>10</v>
          </cell>
          <cell r="CE9">
            <v>12</v>
          </cell>
          <cell r="CF9">
            <v>8</v>
          </cell>
          <cell r="CG9">
            <v>3</v>
          </cell>
          <cell r="CH9">
            <v>0</v>
          </cell>
          <cell r="CI9">
            <v>4</v>
          </cell>
          <cell r="CJ9">
            <v>12</v>
          </cell>
          <cell r="CK9">
            <v>4</v>
          </cell>
          <cell r="CL9">
            <v>1</v>
          </cell>
          <cell r="CM9">
            <v>0</v>
          </cell>
          <cell r="CN9">
            <v>1</v>
          </cell>
          <cell r="CO9">
            <v>9</v>
          </cell>
          <cell r="CP9">
            <v>3</v>
          </cell>
          <cell r="CQ9">
            <v>0</v>
          </cell>
          <cell r="CR9">
            <v>0</v>
          </cell>
          <cell r="CS9">
            <v>1</v>
          </cell>
          <cell r="CT9">
            <v>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14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13</v>
          </cell>
          <cell r="DE9">
            <v>3</v>
          </cell>
          <cell r="DF9">
            <v>2</v>
          </cell>
          <cell r="DG9">
            <v>0</v>
          </cell>
          <cell r="DH9">
            <v>7</v>
          </cell>
          <cell r="DI9">
            <v>0</v>
          </cell>
          <cell r="DJ9">
            <v>0</v>
          </cell>
          <cell r="DK9">
            <v>5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2</v>
          </cell>
          <cell r="DQ9">
            <v>0</v>
          </cell>
          <cell r="DR9">
            <v>1</v>
          </cell>
          <cell r="DS9">
            <v>1953</v>
          </cell>
          <cell r="DT9">
            <v>89</v>
          </cell>
          <cell r="DU9">
            <v>400</v>
          </cell>
          <cell r="DV9">
            <v>0</v>
          </cell>
          <cell r="DW9">
            <v>172</v>
          </cell>
          <cell r="DX9">
            <v>1029</v>
          </cell>
          <cell r="DY9">
            <v>1</v>
          </cell>
          <cell r="DZ9">
            <v>188</v>
          </cell>
          <cell r="EA9">
            <v>0</v>
          </cell>
          <cell r="EB9">
            <v>81</v>
          </cell>
          <cell r="EC9">
            <v>72</v>
          </cell>
          <cell r="ED9">
            <v>9</v>
          </cell>
          <cell r="EE9">
            <v>38</v>
          </cell>
          <cell r="EF9">
            <v>0</v>
          </cell>
          <cell r="EG9">
            <v>15</v>
          </cell>
          <cell r="EH9">
            <v>38</v>
          </cell>
          <cell r="EI9">
            <v>0</v>
          </cell>
          <cell r="EJ9">
            <v>7</v>
          </cell>
          <cell r="EK9">
            <v>0</v>
          </cell>
          <cell r="EL9">
            <v>8</v>
          </cell>
          <cell r="EM9">
            <v>1</v>
          </cell>
          <cell r="EN9">
            <v>9</v>
          </cell>
          <cell r="EO9">
            <v>7</v>
          </cell>
          <cell r="EP9">
            <v>0</v>
          </cell>
          <cell r="EQ9">
            <v>1</v>
          </cell>
          <cell r="ER9">
            <v>31</v>
          </cell>
          <cell r="ES9">
            <v>4</v>
          </cell>
          <cell r="ET9">
            <v>9</v>
          </cell>
          <cell r="EU9">
            <v>0</v>
          </cell>
          <cell r="EV9">
            <v>7</v>
          </cell>
          <cell r="EW9">
            <v>5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112</v>
          </cell>
          <cell r="FC9">
            <v>7</v>
          </cell>
          <cell r="FD9">
            <v>12</v>
          </cell>
          <cell r="FE9">
            <v>0</v>
          </cell>
          <cell r="FF9">
            <v>10</v>
          </cell>
          <cell r="FG9">
            <v>12</v>
          </cell>
          <cell r="FH9">
            <v>1</v>
          </cell>
          <cell r="FI9">
            <v>0</v>
          </cell>
          <cell r="FJ9">
            <v>0</v>
          </cell>
          <cell r="FK9">
            <v>4</v>
          </cell>
          <cell r="FL9">
            <v>24</v>
          </cell>
          <cell r="FM9">
            <v>20</v>
          </cell>
          <cell r="FN9">
            <v>17</v>
          </cell>
          <cell r="FO9">
            <v>0</v>
          </cell>
          <cell r="FP9">
            <v>10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14</v>
          </cell>
          <cell r="FW9">
            <v>2</v>
          </cell>
          <cell r="FX9">
            <v>8</v>
          </cell>
          <cell r="FY9">
            <v>0</v>
          </cell>
          <cell r="FZ9">
            <v>3</v>
          </cell>
          <cell r="GA9">
            <v>33</v>
          </cell>
          <cell r="GB9">
            <v>7</v>
          </cell>
          <cell r="GC9">
            <v>4</v>
          </cell>
          <cell r="GD9">
            <v>0</v>
          </cell>
          <cell r="GE9">
            <v>2</v>
          </cell>
        </row>
        <row r="10">
          <cell r="B10">
            <v>6</v>
          </cell>
          <cell r="C10">
            <v>2170</v>
          </cell>
          <cell r="D10">
            <v>0</v>
          </cell>
          <cell r="E10">
            <v>0</v>
          </cell>
          <cell r="F10">
            <v>0</v>
          </cell>
          <cell r="G10">
            <v>24</v>
          </cell>
          <cell r="H10">
            <v>545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768</v>
          </cell>
          <cell r="N10">
            <v>4</v>
          </cell>
          <cell r="O10">
            <v>29</v>
          </cell>
          <cell r="P10">
            <v>0</v>
          </cell>
          <cell r="Q10">
            <v>5</v>
          </cell>
          <cell r="R10">
            <v>8419</v>
          </cell>
          <cell r="S10">
            <v>14</v>
          </cell>
          <cell r="T10">
            <v>290</v>
          </cell>
          <cell r="U10">
            <v>0</v>
          </cell>
          <cell r="V10">
            <v>303</v>
          </cell>
          <cell r="W10">
            <v>0</v>
          </cell>
          <cell r="X10">
            <v>37</v>
          </cell>
          <cell r="Y10">
            <v>250</v>
          </cell>
          <cell r="Z10">
            <v>0</v>
          </cell>
          <cell r="AA10">
            <v>11</v>
          </cell>
          <cell r="AB10">
            <v>265</v>
          </cell>
          <cell r="AC10">
            <v>19</v>
          </cell>
          <cell r="AD10">
            <v>53</v>
          </cell>
          <cell r="AE10">
            <v>0</v>
          </cell>
          <cell r="AF10">
            <v>15</v>
          </cell>
          <cell r="AG10">
            <v>32</v>
          </cell>
          <cell r="AH10">
            <v>7</v>
          </cell>
          <cell r="AI10">
            <v>13</v>
          </cell>
          <cell r="AJ10">
            <v>0</v>
          </cell>
          <cell r="AK10">
            <v>2</v>
          </cell>
          <cell r="AL10">
            <v>227</v>
          </cell>
          <cell r="AM10">
            <v>0</v>
          </cell>
          <cell r="AN10">
            <v>1</v>
          </cell>
          <cell r="AO10">
            <v>0</v>
          </cell>
          <cell r="AP10">
            <v>1</v>
          </cell>
          <cell r="AQ10">
            <v>129</v>
          </cell>
          <cell r="AR10">
            <v>27</v>
          </cell>
          <cell r="AS10">
            <v>71</v>
          </cell>
          <cell r="AT10">
            <v>0</v>
          </cell>
          <cell r="AU10">
            <v>19</v>
          </cell>
          <cell r="AV10">
            <v>24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128</v>
          </cell>
          <cell r="BB10">
            <v>8</v>
          </cell>
          <cell r="BC10">
            <v>1</v>
          </cell>
          <cell r="BD10">
            <v>0</v>
          </cell>
          <cell r="BE10">
            <v>2</v>
          </cell>
          <cell r="BF10">
            <v>38</v>
          </cell>
          <cell r="BG10">
            <v>1</v>
          </cell>
          <cell r="BH10">
            <v>3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481</v>
          </cell>
          <cell r="BQ10">
            <v>1</v>
          </cell>
          <cell r="BR10">
            <v>49</v>
          </cell>
          <cell r="BS10">
            <v>0</v>
          </cell>
          <cell r="BT10">
            <v>33</v>
          </cell>
          <cell r="BU10">
            <v>4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406</v>
          </cell>
          <cell r="CA10">
            <v>4</v>
          </cell>
          <cell r="CB10">
            <v>75</v>
          </cell>
          <cell r="CC10">
            <v>0</v>
          </cell>
          <cell r="CD10">
            <v>30</v>
          </cell>
          <cell r="CE10">
            <v>13</v>
          </cell>
          <cell r="CF10">
            <v>7</v>
          </cell>
          <cell r="CG10">
            <v>3</v>
          </cell>
          <cell r="CH10">
            <v>0</v>
          </cell>
          <cell r="CI10">
            <v>1</v>
          </cell>
          <cell r="CJ10">
            <v>10</v>
          </cell>
          <cell r="CK10">
            <v>2</v>
          </cell>
          <cell r="CL10">
            <v>0</v>
          </cell>
          <cell r="CM10">
            <v>0</v>
          </cell>
          <cell r="CN10">
            <v>3</v>
          </cell>
          <cell r="CO10">
            <v>3</v>
          </cell>
          <cell r="CP10">
            <v>2</v>
          </cell>
          <cell r="CQ10">
            <v>0</v>
          </cell>
          <cell r="CR10">
            <v>0</v>
          </cell>
          <cell r="CS10">
            <v>0</v>
          </cell>
          <cell r="CT10">
            <v>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10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14</v>
          </cell>
          <cell r="DE10">
            <v>4</v>
          </cell>
          <cell r="DF10">
            <v>6</v>
          </cell>
          <cell r="DG10">
            <v>0</v>
          </cell>
          <cell r="DH10">
            <v>1</v>
          </cell>
          <cell r="DI10">
            <v>0</v>
          </cell>
          <cell r="DJ10">
            <v>0</v>
          </cell>
          <cell r="DK10">
            <v>1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</v>
          </cell>
          <cell r="DQ10">
            <v>0</v>
          </cell>
          <cell r="DR10">
            <v>3</v>
          </cell>
          <cell r="DS10">
            <v>1664</v>
          </cell>
          <cell r="DT10">
            <v>74</v>
          </cell>
          <cell r="DU10">
            <v>493</v>
          </cell>
          <cell r="DV10">
            <v>0</v>
          </cell>
          <cell r="DW10">
            <v>236</v>
          </cell>
          <cell r="DX10">
            <v>1105</v>
          </cell>
          <cell r="DY10">
            <v>1</v>
          </cell>
          <cell r="DZ10">
            <v>98</v>
          </cell>
          <cell r="EA10">
            <v>0</v>
          </cell>
          <cell r="EB10">
            <v>31</v>
          </cell>
          <cell r="EC10">
            <v>101</v>
          </cell>
          <cell r="ED10">
            <v>16</v>
          </cell>
          <cell r="EE10">
            <v>81</v>
          </cell>
          <cell r="EF10">
            <v>0</v>
          </cell>
          <cell r="EG10">
            <v>49</v>
          </cell>
          <cell r="EH10">
            <v>40</v>
          </cell>
          <cell r="EI10">
            <v>0</v>
          </cell>
          <cell r="EJ10">
            <v>16</v>
          </cell>
          <cell r="EK10">
            <v>0</v>
          </cell>
          <cell r="EL10">
            <v>3</v>
          </cell>
          <cell r="EM10">
            <v>3</v>
          </cell>
          <cell r="EN10">
            <v>2</v>
          </cell>
          <cell r="EO10">
            <v>2</v>
          </cell>
          <cell r="EP10">
            <v>0</v>
          </cell>
          <cell r="EQ10">
            <v>0</v>
          </cell>
          <cell r="ER10">
            <v>34</v>
          </cell>
          <cell r="ES10">
            <v>0</v>
          </cell>
          <cell r="ET10">
            <v>10</v>
          </cell>
          <cell r="EU10">
            <v>0</v>
          </cell>
          <cell r="EV10">
            <v>4</v>
          </cell>
          <cell r="EW10">
            <v>3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110</v>
          </cell>
          <cell r="FC10">
            <v>2</v>
          </cell>
          <cell r="FD10">
            <v>15</v>
          </cell>
          <cell r="FE10">
            <v>0</v>
          </cell>
          <cell r="FF10">
            <v>6</v>
          </cell>
          <cell r="FG10">
            <v>12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17</v>
          </cell>
          <cell r="FM10">
            <v>17</v>
          </cell>
          <cell r="FN10">
            <v>24</v>
          </cell>
          <cell r="FO10">
            <v>0</v>
          </cell>
          <cell r="FP10">
            <v>6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16</v>
          </cell>
          <cell r="FW10">
            <v>1</v>
          </cell>
          <cell r="FX10">
            <v>4</v>
          </cell>
          <cell r="FY10">
            <v>0</v>
          </cell>
          <cell r="FZ10">
            <v>1</v>
          </cell>
          <cell r="GA10">
            <v>24</v>
          </cell>
          <cell r="GB10">
            <v>6</v>
          </cell>
          <cell r="GC10">
            <v>5</v>
          </cell>
          <cell r="GD10">
            <v>0</v>
          </cell>
          <cell r="GE10">
            <v>1</v>
          </cell>
        </row>
        <row r="11">
          <cell r="B11">
            <v>7</v>
          </cell>
          <cell r="C11">
            <v>1609</v>
          </cell>
          <cell r="D11">
            <v>0</v>
          </cell>
          <cell r="E11">
            <v>0</v>
          </cell>
          <cell r="F11">
            <v>0</v>
          </cell>
          <cell r="G11">
            <v>9</v>
          </cell>
          <cell r="H11">
            <v>437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664</v>
          </cell>
          <cell r="N11">
            <v>0</v>
          </cell>
          <cell r="O11">
            <v>6</v>
          </cell>
          <cell r="P11">
            <v>0</v>
          </cell>
          <cell r="Q11">
            <v>9</v>
          </cell>
          <cell r="R11">
            <v>7299</v>
          </cell>
          <cell r="S11">
            <v>29</v>
          </cell>
          <cell r="T11">
            <v>273</v>
          </cell>
          <cell r="U11">
            <v>0</v>
          </cell>
          <cell r="V11">
            <v>510</v>
          </cell>
          <cell r="W11">
            <v>0</v>
          </cell>
          <cell r="X11">
            <v>0</v>
          </cell>
          <cell r="Y11">
            <v>153</v>
          </cell>
          <cell r="Z11">
            <v>0</v>
          </cell>
          <cell r="AA11">
            <v>16</v>
          </cell>
          <cell r="AB11">
            <v>271</v>
          </cell>
          <cell r="AC11">
            <v>6</v>
          </cell>
          <cell r="AD11">
            <v>28</v>
          </cell>
          <cell r="AE11">
            <v>0</v>
          </cell>
          <cell r="AF11">
            <v>25</v>
          </cell>
          <cell r="AG11">
            <v>18</v>
          </cell>
          <cell r="AH11">
            <v>4</v>
          </cell>
          <cell r="AI11">
            <v>6</v>
          </cell>
          <cell r="AJ11">
            <v>0</v>
          </cell>
          <cell r="AK11">
            <v>2</v>
          </cell>
          <cell r="AL11">
            <v>131</v>
          </cell>
          <cell r="AM11">
            <v>0</v>
          </cell>
          <cell r="AN11">
            <v>2</v>
          </cell>
          <cell r="AO11">
            <v>0</v>
          </cell>
          <cell r="AP11">
            <v>2</v>
          </cell>
          <cell r="AQ11">
            <v>123</v>
          </cell>
          <cell r="AR11">
            <v>4</v>
          </cell>
          <cell r="AS11">
            <v>39</v>
          </cell>
          <cell r="AT11">
            <v>0</v>
          </cell>
          <cell r="AU11">
            <v>24</v>
          </cell>
          <cell r="AV11">
            <v>8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104</v>
          </cell>
          <cell r="BB11">
            <v>7</v>
          </cell>
          <cell r="BC11">
            <v>1</v>
          </cell>
          <cell r="BD11">
            <v>0</v>
          </cell>
          <cell r="BE11">
            <v>4</v>
          </cell>
          <cell r="BF11">
            <v>45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4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485</v>
          </cell>
          <cell r="BQ11">
            <v>0</v>
          </cell>
          <cell r="BR11">
            <v>37</v>
          </cell>
          <cell r="BS11">
            <v>0</v>
          </cell>
          <cell r="BT11">
            <v>83</v>
          </cell>
          <cell r="BU11">
            <v>3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339</v>
          </cell>
          <cell r="CA11">
            <v>1</v>
          </cell>
          <cell r="CB11">
            <v>27</v>
          </cell>
          <cell r="CC11">
            <v>0</v>
          </cell>
          <cell r="CD11">
            <v>24</v>
          </cell>
          <cell r="CE11">
            <v>3</v>
          </cell>
          <cell r="CF11">
            <v>1</v>
          </cell>
          <cell r="CG11">
            <v>3</v>
          </cell>
          <cell r="CH11">
            <v>0</v>
          </cell>
          <cell r="CI11">
            <v>2</v>
          </cell>
          <cell r="CJ11">
            <v>3</v>
          </cell>
          <cell r="CK11">
            <v>3</v>
          </cell>
          <cell r="CL11">
            <v>0</v>
          </cell>
          <cell r="CM11">
            <v>0</v>
          </cell>
          <cell r="CN11">
            <v>0</v>
          </cell>
          <cell r="CO11">
            <v>5</v>
          </cell>
          <cell r="CP11">
            <v>2</v>
          </cell>
          <cell r="CQ11">
            <v>0</v>
          </cell>
          <cell r="CR11">
            <v>0</v>
          </cell>
          <cell r="CS11">
            <v>0</v>
          </cell>
          <cell r="CT11">
            <v>1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9</v>
          </cell>
          <cell r="CZ11">
            <v>0</v>
          </cell>
          <cell r="DA11">
            <v>0</v>
          </cell>
          <cell r="DB11">
            <v>0</v>
          </cell>
          <cell r="DC11">
            <v>1</v>
          </cell>
          <cell r="DD11">
            <v>8</v>
          </cell>
          <cell r="DE11">
            <v>1</v>
          </cell>
          <cell r="DF11">
            <v>0</v>
          </cell>
          <cell r="DG11">
            <v>0</v>
          </cell>
          <cell r="DH11">
            <v>1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14</v>
          </cell>
          <cell r="DQ11">
            <v>0</v>
          </cell>
          <cell r="DR11">
            <v>5</v>
          </cell>
          <cell r="DS11">
            <v>1686</v>
          </cell>
          <cell r="DT11">
            <v>27</v>
          </cell>
          <cell r="DU11">
            <v>229</v>
          </cell>
          <cell r="DV11">
            <v>0</v>
          </cell>
          <cell r="DW11">
            <v>90</v>
          </cell>
          <cell r="DX11">
            <v>1084</v>
          </cell>
          <cell r="DY11">
            <v>0</v>
          </cell>
          <cell r="DZ11">
            <v>158</v>
          </cell>
          <cell r="EA11">
            <v>0</v>
          </cell>
          <cell r="EB11">
            <v>54</v>
          </cell>
          <cell r="EC11">
            <v>75</v>
          </cell>
          <cell r="ED11">
            <v>5</v>
          </cell>
          <cell r="EE11">
            <v>17</v>
          </cell>
          <cell r="EF11">
            <v>0</v>
          </cell>
          <cell r="EG11">
            <v>26</v>
          </cell>
          <cell r="EH11">
            <v>39</v>
          </cell>
          <cell r="EI11">
            <v>0</v>
          </cell>
          <cell r="EJ11">
            <v>16</v>
          </cell>
          <cell r="EK11">
            <v>0</v>
          </cell>
          <cell r="EL11">
            <v>1</v>
          </cell>
          <cell r="EM11">
            <v>0</v>
          </cell>
          <cell r="EN11">
            <v>2</v>
          </cell>
          <cell r="EO11">
            <v>5</v>
          </cell>
          <cell r="EP11">
            <v>0</v>
          </cell>
          <cell r="EQ11">
            <v>0</v>
          </cell>
          <cell r="ER11">
            <v>21</v>
          </cell>
          <cell r="ES11">
            <v>1</v>
          </cell>
          <cell r="ET11">
            <v>19</v>
          </cell>
          <cell r="EU11">
            <v>0</v>
          </cell>
          <cell r="EV11">
            <v>13</v>
          </cell>
          <cell r="EW11">
            <v>3</v>
          </cell>
          <cell r="EX11">
            <v>1</v>
          </cell>
          <cell r="EY11">
            <v>1</v>
          </cell>
          <cell r="EZ11">
            <v>0</v>
          </cell>
          <cell r="FA11">
            <v>0</v>
          </cell>
          <cell r="FB11">
            <v>97</v>
          </cell>
          <cell r="FC11">
            <v>0</v>
          </cell>
          <cell r="FD11">
            <v>11</v>
          </cell>
          <cell r="FE11">
            <v>0</v>
          </cell>
          <cell r="FF11">
            <v>18</v>
          </cell>
          <cell r="FG11">
            <v>6</v>
          </cell>
          <cell r="FH11">
            <v>3</v>
          </cell>
          <cell r="FI11">
            <v>0</v>
          </cell>
          <cell r="FJ11">
            <v>0</v>
          </cell>
          <cell r="FK11">
            <v>0</v>
          </cell>
          <cell r="FL11">
            <v>9</v>
          </cell>
          <cell r="FM11">
            <v>11</v>
          </cell>
          <cell r="FN11">
            <v>23</v>
          </cell>
          <cell r="FO11">
            <v>0</v>
          </cell>
          <cell r="FP11">
            <v>11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13</v>
          </cell>
          <cell r="FW11">
            <v>0</v>
          </cell>
          <cell r="FX11">
            <v>13</v>
          </cell>
          <cell r="FY11">
            <v>0</v>
          </cell>
          <cell r="FZ11">
            <v>4</v>
          </cell>
          <cell r="GA11">
            <v>11</v>
          </cell>
          <cell r="GB11">
            <v>8</v>
          </cell>
          <cell r="GC11">
            <v>3</v>
          </cell>
          <cell r="GD11">
            <v>0</v>
          </cell>
          <cell r="GE11">
            <v>0</v>
          </cell>
        </row>
        <row r="12">
          <cell r="B12">
            <v>8</v>
          </cell>
          <cell r="C12">
            <v>1540</v>
          </cell>
          <cell r="D12">
            <v>0</v>
          </cell>
          <cell r="E12">
            <v>0</v>
          </cell>
          <cell r="F12">
            <v>0</v>
          </cell>
          <cell r="G12">
            <v>7</v>
          </cell>
          <cell r="H12">
            <v>448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681</v>
          </cell>
          <cell r="N12">
            <v>3</v>
          </cell>
          <cell r="O12">
            <v>20</v>
          </cell>
          <cell r="P12">
            <v>0</v>
          </cell>
          <cell r="Q12">
            <v>12</v>
          </cell>
          <cell r="R12">
            <v>7463</v>
          </cell>
          <cell r="S12">
            <v>63</v>
          </cell>
          <cell r="T12">
            <v>824</v>
          </cell>
          <cell r="U12">
            <v>0</v>
          </cell>
          <cell r="V12">
            <v>462</v>
          </cell>
          <cell r="W12">
            <v>0</v>
          </cell>
          <cell r="X12">
            <v>0</v>
          </cell>
          <cell r="Y12">
            <v>172</v>
          </cell>
          <cell r="Z12">
            <v>0</v>
          </cell>
          <cell r="AA12">
            <v>96</v>
          </cell>
          <cell r="AB12">
            <v>255</v>
          </cell>
          <cell r="AC12">
            <v>13</v>
          </cell>
          <cell r="AD12">
            <v>45</v>
          </cell>
          <cell r="AE12">
            <v>0</v>
          </cell>
          <cell r="AF12">
            <v>26</v>
          </cell>
          <cell r="AG12">
            <v>21</v>
          </cell>
          <cell r="AH12">
            <v>6</v>
          </cell>
          <cell r="AI12">
            <v>8</v>
          </cell>
          <cell r="AJ12">
            <v>0</v>
          </cell>
          <cell r="AK12">
            <v>1</v>
          </cell>
          <cell r="AL12">
            <v>172</v>
          </cell>
          <cell r="AM12">
            <v>0</v>
          </cell>
          <cell r="AN12">
            <v>4</v>
          </cell>
          <cell r="AO12">
            <v>0</v>
          </cell>
          <cell r="AP12">
            <v>6</v>
          </cell>
          <cell r="AQ12">
            <v>131</v>
          </cell>
          <cell r="AR12">
            <v>15</v>
          </cell>
          <cell r="AS12">
            <v>68</v>
          </cell>
          <cell r="AT12">
            <v>0</v>
          </cell>
          <cell r="AU12">
            <v>22</v>
          </cell>
          <cell r="AV12">
            <v>16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95</v>
          </cell>
          <cell r="BB12">
            <v>5</v>
          </cell>
          <cell r="BC12">
            <v>5</v>
          </cell>
          <cell r="BD12">
            <v>0</v>
          </cell>
          <cell r="BE12">
            <v>0</v>
          </cell>
          <cell r="BF12">
            <v>45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2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458</v>
          </cell>
          <cell r="BQ12">
            <v>0</v>
          </cell>
          <cell r="BR12">
            <v>72</v>
          </cell>
          <cell r="BS12">
            <v>0</v>
          </cell>
          <cell r="BT12">
            <v>78</v>
          </cell>
          <cell r="BU12">
            <v>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363</v>
          </cell>
          <cell r="CA12">
            <v>0</v>
          </cell>
          <cell r="CB12">
            <v>45</v>
          </cell>
          <cell r="CC12">
            <v>0</v>
          </cell>
          <cell r="CD12">
            <v>29</v>
          </cell>
          <cell r="CE12">
            <v>5</v>
          </cell>
          <cell r="CF12">
            <v>4</v>
          </cell>
          <cell r="CG12">
            <v>2</v>
          </cell>
          <cell r="CH12">
            <v>0</v>
          </cell>
          <cell r="CI12">
            <v>6</v>
          </cell>
          <cell r="CJ12">
            <v>4</v>
          </cell>
          <cell r="CK12">
            <v>0</v>
          </cell>
          <cell r="CL12">
            <v>1</v>
          </cell>
          <cell r="CM12">
            <v>0</v>
          </cell>
          <cell r="CN12">
            <v>1</v>
          </cell>
          <cell r="CO12">
            <v>1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2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8</v>
          </cell>
          <cell r="DE12">
            <v>5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6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44</v>
          </cell>
          <cell r="DQ12">
            <v>0</v>
          </cell>
          <cell r="DR12">
            <v>19</v>
          </cell>
          <cell r="DS12">
            <v>1874</v>
          </cell>
          <cell r="DT12">
            <v>45</v>
          </cell>
          <cell r="DU12">
            <v>709</v>
          </cell>
          <cell r="DV12">
            <v>0</v>
          </cell>
          <cell r="DW12">
            <v>136</v>
          </cell>
          <cell r="DX12">
            <v>1037</v>
          </cell>
          <cell r="DY12">
            <v>1</v>
          </cell>
          <cell r="DZ12">
            <v>96</v>
          </cell>
          <cell r="EA12">
            <v>0</v>
          </cell>
          <cell r="EB12">
            <v>36</v>
          </cell>
          <cell r="EC12">
            <v>86</v>
          </cell>
          <cell r="ED12">
            <v>6</v>
          </cell>
          <cell r="EE12">
            <v>78</v>
          </cell>
          <cell r="EF12">
            <v>0</v>
          </cell>
          <cell r="EG12">
            <v>43</v>
          </cell>
          <cell r="EH12">
            <v>44</v>
          </cell>
          <cell r="EI12">
            <v>0</v>
          </cell>
          <cell r="EJ12">
            <v>14</v>
          </cell>
          <cell r="EK12">
            <v>0</v>
          </cell>
          <cell r="EL12">
            <v>3</v>
          </cell>
          <cell r="EM12">
            <v>2</v>
          </cell>
          <cell r="EN12">
            <v>1</v>
          </cell>
          <cell r="EO12">
            <v>0</v>
          </cell>
          <cell r="EP12">
            <v>0</v>
          </cell>
          <cell r="EQ12">
            <v>1</v>
          </cell>
          <cell r="ER12">
            <v>24</v>
          </cell>
          <cell r="ES12">
            <v>2</v>
          </cell>
          <cell r="ET12">
            <v>14</v>
          </cell>
          <cell r="EU12">
            <v>0</v>
          </cell>
          <cell r="EV12">
            <v>14</v>
          </cell>
          <cell r="EW12">
            <v>2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114</v>
          </cell>
          <cell r="FC12">
            <v>9</v>
          </cell>
          <cell r="FD12">
            <v>17</v>
          </cell>
          <cell r="FE12">
            <v>0</v>
          </cell>
          <cell r="FF12">
            <v>12</v>
          </cell>
          <cell r="FG12">
            <v>4</v>
          </cell>
          <cell r="FH12">
            <v>5</v>
          </cell>
          <cell r="FI12">
            <v>1</v>
          </cell>
          <cell r="FJ12">
            <v>0</v>
          </cell>
          <cell r="FK12">
            <v>0</v>
          </cell>
          <cell r="FL12">
            <v>10</v>
          </cell>
          <cell r="FM12">
            <v>22</v>
          </cell>
          <cell r="FN12">
            <v>17</v>
          </cell>
          <cell r="FO12">
            <v>0</v>
          </cell>
          <cell r="FP12">
            <v>22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13</v>
          </cell>
          <cell r="FW12">
            <v>3</v>
          </cell>
          <cell r="FX12">
            <v>13</v>
          </cell>
          <cell r="FY12">
            <v>0</v>
          </cell>
          <cell r="FZ12">
            <v>8</v>
          </cell>
          <cell r="GA12">
            <v>9</v>
          </cell>
          <cell r="GB12">
            <v>3</v>
          </cell>
          <cell r="GC12">
            <v>5</v>
          </cell>
          <cell r="GD12">
            <v>0</v>
          </cell>
          <cell r="GE12">
            <v>1</v>
          </cell>
        </row>
        <row r="13">
          <cell r="B13">
            <v>9</v>
          </cell>
          <cell r="C13">
            <v>2134</v>
          </cell>
          <cell r="D13">
            <v>0</v>
          </cell>
          <cell r="E13">
            <v>0</v>
          </cell>
          <cell r="F13">
            <v>0</v>
          </cell>
          <cell r="G13">
            <v>20</v>
          </cell>
          <cell r="H13">
            <v>599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788</v>
          </cell>
          <cell r="N13">
            <v>0</v>
          </cell>
          <cell r="O13">
            <v>10</v>
          </cell>
          <cell r="P13">
            <v>0</v>
          </cell>
          <cell r="Q13">
            <v>15</v>
          </cell>
          <cell r="R13">
            <v>9325</v>
          </cell>
          <cell r="S13">
            <v>55</v>
          </cell>
          <cell r="T13">
            <v>233</v>
          </cell>
          <cell r="U13">
            <v>0</v>
          </cell>
          <cell r="V13">
            <v>283</v>
          </cell>
          <cell r="W13">
            <v>0</v>
          </cell>
          <cell r="X13">
            <v>9</v>
          </cell>
          <cell r="Y13">
            <v>93</v>
          </cell>
          <cell r="Z13">
            <v>0</v>
          </cell>
          <cell r="AA13">
            <v>61</v>
          </cell>
          <cell r="AB13">
            <v>327</v>
          </cell>
          <cell r="AC13">
            <v>25</v>
          </cell>
          <cell r="AD13">
            <v>30</v>
          </cell>
          <cell r="AE13">
            <v>0</v>
          </cell>
          <cell r="AF13">
            <v>24</v>
          </cell>
          <cell r="AG13">
            <v>18</v>
          </cell>
          <cell r="AH13">
            <v>2</v>
          </cell>
          <cell r="AI13">
            <v>16</v>
          </cell>
          <cell r="AJ13">
            <v>0</v>
          </cell>
          <cell r="AK13">
            <v>3</v>
          </cell>
          <cell r="AL13">
            <v>272</v>
          </cell>
          <cell r="AM13">
            <v>0</v>
          </cell>
          <cell r="AN13">
            <v>2</v>
          </cell>
          <cell r="AO13">
            <v>0</v>
          </cell>
          <cell r="AP13">
            <v>2</v>
          </cell>
          <cell r="AQ13">
            <v>139</v>
          </cell>
          <cell r="AR13">
            <v>10</v>
          </cell>
          <cell r="AS13">
            <v>52</v>
          </cell>
          <cell r="AT13">
            <v>0</v>
          </cell>
          <cell r="AU13">
            <v>12</v>
          </cell>
          <cell r="AV13">
            <v>11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131</v>
          </cell>
          <cell r="BB13">
            <v>7</v>
          </cell>
          <cell r="BC13">
            <v>1</v>
          </cell>
          <cell r="BD13">
            <v>0</v>
          </cell>
          <cell r="BE13">
            <v>6</v>
          </cell>
          <cell r="BF13">
            <v>44</v>
          </cell>
          <cell r="BG13">
            <v>3</v>
          </cell>
          <cell r="BH13">
            <v>2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537</v>
          </cell>
          <cell r="BQ13">
            <v>1</v>
          </cell>
          <cell r="BR13">
            <v>69</v>
          </cell>
          <cell r="BS13">
            <v>0</v>
          </cell>
          <cell r="BT13">
            <v>80</v>
          </cell>
          <cell r="BU13">
            <v>4</v>
          </cell>
          <cell r="BV13">
            <v>1</v>
          </cell>
          <cell r="BW13">
            <v>1</v>
          </cell>
          <cell r="BX13">
            <v>0</v>
          </cell>
          <cell r="BY13">
            <v>0</v>
          </cell>
          <cell r="BZ13">
            <v>423</v>
          </cell>
          <cell r="CA13">
            <v>3</v>
          </cell>
          <cell r="CB13">
            <v>18</v>
          </cell>
          <cell r="CC13">
            <v>0</v>
          </cell>
          <cell r="CD13">
            <v>23</v>
          </cell>
          <cell r="CE13">
            <v>32</v>
          </cell>
          <cell r="CF13">
            <v>4</v>
          </cell>
          <cell r="CG13">
            <v>0</v>
          </cell>
          <cell r="CH13">
            <v>0</v>
          </cell>
          <cell r="CI13">
            <v>4</v>
          </cell>
          <cell r="CJ13">
            <v>9</v>
          </cell>
          <cell r="CK13">
            <v>1</v>
          </cell>
          <cell r="CL13">
            <v>1</v>
          </cell>
          <cell r="CM13">
            <v>0</v>
          </cell>
          <cell r="CN13">
            <v>0</v>
          </cell>
          <cell r="CO13">
            <v>4</v>
          </cell>
          <cell r="CP13">
            <v>2</v>
          </cell>
          <cell r="CQ13">
            <v>0</v>
          </cell>
          <cell r="CR13">
            <v>0</v>
          </cell>
          <cell r="CS13">
            <v>1</v>
          </cell>
          <cell r="CT13">
            <v>4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9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10</v>
          </cell>
          <cell r="DE13">
            <v>3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6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22</v>
          </cell>
          <cell r="DQ13">
            <v>0</v>
          </cell>
          <cell r="DR13">
            <v>9</v>
          </cell>
          <cell r="DS13">
            <v>1966</v>
          </cell>
          <cell r="DT13">
            <v>19</v>
          </cell>
          <cell r="DU13">
            <v>382</v>
          </cell>
          <cell r="DV13">
            <v>0</v>
          </cell>
          <cell r="DW13">
            <v>156</v>
          </cell>
          <cell r="DX13">
            <v>1185</v>
          </cell>
          <cell r="DY13">
            <v>2</v>
          </cell>
          <cell r="DZ13">
            <v>427</v>
          </cell>
          <cell r="EA13">
            <v>0</v>
          </cell>
          <cell r="EB13">
            <v>45</v>
          </cell>
          <cell r="EC13">
            <v>89</v>
          </cell>
          <cell r="ED13">
            <v>1</v>
          </cell>
          <cell r="EE13">
            <v>27</v>
          </cell>
          <cell r="EF13">
            <v>0</v>
          </cell>
          <cell r="EG13">
            <v>8</v>
          </cell>
          <cell r="EH13">
            <v>41</v>
          </cell>
          <cell r="EI13">
            <v>0</v>
          </cell>
          <cell r="EJ13">
            <v>9</v>
          </cell>
          <cell r="EK13">
            <v>0</v>
          </cell>
          <cell r="EL13">
            <v>0</v>
          </cell>
          <cell r="EM13">
            <v>0</v>
          </cell>
          <cell r="EN13">
            <v>2</v>
          </cell>
          <cell r="EO13">
            <v>6</v>
          </cell>
          <cell r="EP13">
            <v>0</v>
          </cell>
          <cell r="EQ13">
            <v>4</v>
          </cell>
          <cell r="ER13">
            <v>34</v>
          </cell>
          <cell r="ES13">
            <v>1</v>
          </cell>
          <cell r="ET13">
            <v>24</v>
          </cell>
          <cell r="EU13">
            <v>0</v>
          </cell>
          <cell r="EV13">
            <v>18</v>
          </cell>
          <cell r="EW13">
            <v>5</v>
          </cell>
          <cell r="EX13">
            <v>0</v>
          </cell>
          <cell r="EY13">
            <v>1</v>
          </cell>
          <cell r="EZ13">
            <v>0</v>
          </cell>
          <cell r="FA13">
            <v>0</v>
          </cell>
          <cell r="FB13">
            <v>111</v>
          </cell>
          <cell r="FC13">
            <v>2</v>
          </cell>
          <cell r="FD13">
            <v>14</v>
          </cell>
          <cell r="FE13">
            <v>0</v>
          </cell>
          <cell r="FF13">
            <v>20</v>
          </cell>
          <cell r="FG13">
            <v>13</v>
          </cell>
          <cell r="FH13">
            <v>5</v>
          </cell>
          <cell r="FI13">
            <v>0</v>
          </cell>
          <cell r="FJ13">
            <v>0</v>
          </cell>
          <cell r="FK13">
            <v>1</v>
          </cell>
          <cell r="FL13">
            <v>9</v>
          </cell>
          <cell r="FM13">
            <v>19</v>
          </cell>
          <cell r="FN13">
            <v>32</v>
          </cell>
          <cell r="FO13">
            <v>0</v>
          </cell>
          <cell r="FP13">
            <v>11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14</v>
          </cell>
          <cell r="FW13">
            <v>2</v>
          </cell>
          <cell r="FX13">
            <v>12</v>
          </cell>
          <cell r="FY13">
            <v>0</v>
          </cell>
          <cell r="FZ13">
            <v>4</v>
          </cell>
          <cell r="GA13">
            <v>11</v>
          </cell>
          <cell r="GB13">
            <v>3</v>
          </cell>
          <cell r="GC13">
            <v>5</v>
          </cell>
          <cell r="GD13">
            <v>0</v>
          </cell>
          <cell r="GE13">
            <v>0</v>
          </cell>
        </row>
        <row r="14">
          <cell r="B14">
            <v>10</v>
          </cell>
          <cell r="C14">
            <v>1505</v>
          </cell>
          <cell r="D14">
            <v>0</v>
          </cell>
          <cell r="E14">
            <v>1</v>
          </cell>
          <cell r="F14">
            <v>0</v>
          </cell>
          <cell r="G14">
            <v>3</v>
          </cell>
          <cell r="H14">
            <v>420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620</v>
          </cell>
          <cell r="N14">
            <v>1</v>
          </cell>
          <cell r="O14">
            <v>5</v>
          </cell>
          <cell r="P14">
            <v>0</v>
          </cell>
          <cell r="Q14">
            <v>2</v>
          </cell>
          <cell r="R14">
            <v>6892</v>
          </cell>
          <cell r="S14">
            <v>73</v>
          </cell>
          <cell r="T14">
            <v>153</v>
          </cell>
          <cell r="U14">
            <v>0</v>
          </cell>
          <cell r="V14">
            <v>281</v>
          </cell>
          <cell r="W14">
            <v>0</v>
          </cell>
          <cell r="X14">
            <v>17</v>
          </cell>
          <cell r="Y14">
            <v>59</v>
          </cell>
          <cell r="Z14">
            <v>0</v>
          </cell>
          <cell r="AA14">
            <v>8</v>
          </cell>
          <cell r="AB14">
            <v>218</v>
          </cell>
          <cell r="AC14">
            <v>21</v>
          </cell>
          <cell r="AD14">
            <v>6</v>
          </cell>
          <cell r="AE14">
            <v>0</v>
          </cell>
          <cell r="AF14">
            <v>16</v>
          </cell>
          <cell r="AG14">
            <v>9</v>
          </cell>
          <cell r="AH14">
            <v>4</v>
          </cell>
          <cell r="AI14">
            <v>10</v>
          </cell>
          <cell r="AJ14">
            <v>0</v>
          </cell>
          <cell r="AK14">
            <v>0</v>
          </cell>
          <cell r="AL14">
            <v>167</v>
          </cell>
          <cell r="AM14">
            <v>1</v>
          </cell>
          <cell r="AN14">
            <v>2</v>
          </cell>
          <cell r="AO14">
            <v>0</v>
          </cell>
          <cell r="AP14">
            <v>1</v>
          </cell>
          <cell r="AQ14">
            <v>115</v>
          </cell>
          <cell r="AR14">
            <v>27</v>
          </cell>
          <cell r="AS14">
            <v>21</v>
          </cell>
          <cell r="AT14">
            <v>0</v>
          </cell>
          <cell r="AU14">
            <v>13</v>
          </cell>
          <cell r="AV14">
            <v>11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92</v>
          </cell>
          <cell r="BB14">
            <v>6</v>
          </cell>
          <cell r="BC14">
            <v>0</v>
          </cell>
          <cell r="BD14">
            <v>0</v>
          </cell>
          <cell r="BE14">
            <v>0</v>
          </cell>
          <cell r="BF14">
            <v>36</v>
          </cell>
          <cell r="BG14">
            <v>0</v>
          </cell>
          <cell r="BH14">
            <v>0</v>
          </cell>
          <cell r="BI14">
            <v>0</v>
          </cell>
          <cell r="BJ14">
            <v>1</v>
          </cell>
          <cell r="BK14">
            <v>6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444</v>
          </cell>
          <cell r="BQ14">
            <v>0</v>
          </cell>
          <cell r="BR14">
            <v>72</v>
          </cell>
          <cell r="BS14">
            <v>0</v>
          </cell>
          <cell r="BT14">
            <v>68</v>
          </cell>
          <cell r="BU14">
            <v>3</v>
          </cell>
          <cell r="BV14">
            <v>1</v>
          </cell>
          <cell r="BW14">
            <v>1</v>
          </cell>
          <cell r="BX14">
            <v>0</v>
          </cell>
          <cell r="BY14">
            <v>0</v>
          </cell>
          <cell r="BZ14">
            <v>327</v>
          </cell>
          <cell r="CA14">
            <v>0</v>
          </cell>
          <cell r="CB14">
            <v>30</v>
          </cell>
          <cell r="CC14">
            <v>0</v>
          </cell>
          <cell r="CD14">
            <v>18</v>
          </cell>
          <cell r="CE14">
            <v>2</v>
          </cell>
          <cell r="CF14">
            <v>2</v>
          </cell>
          <cell r="CG14">
            <v>2</v>
          </cell>
          <cell r="CH14">
            <v>0</v>
          </cell>
          <cell r="CI14">
            <v>0</v>
          </cell>
          <cell r="CJ14">
            <v>4</v>
          </cell>
          <cell r="CK14">
            <v>1</v>
          </cell>
          <cell r="CL14">
            <v>0</v>
          </cell>
          <cell r="CM14">
            <v>0</v>
          </cell>
          <cell r="CN14">
            <v>0</v>
          </cell>
          <cell r="CO14">
            <v>4</v>
          </cell>
          <cell r="CP14">
            <v>0</v>
          </cell>
          <cell r="CQ14">
            <v>1</v>
          </cell>
          <cell r="CR14">
            <v>0</v>
          </cell>
          <cell r="CS14">
            <v>0</v>
          </cell>
          <cell r="CT14">
            <v>1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5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5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10</v>
          </cell>
          <cell r="DQ14">
            <v>0</v>
          </cell>
          <cell r="DR14">
            <v>0</v>
          </cell>
          <cell r="DS14">
            <v>1821</v>
          </cell>
          <cell r="DT14">
            <v>43</v>
          </cell>
          <cell r="DU14">
            <v>364</v>
          </cell>
          <cell r="DV14">
            <v>0</v>
          </cell>
          <cell r="DW14">
            <v>69</v>
          </cell>
          <cell r="DX14">
            <v>946</v>
          </cell>
          <cell r="DY14">
            <v>0</v>
          </cell>
          <cell r="DZ14">
            <v>172</v>
          </cell>
          <cell r="EA14">
            <v>0</v>
          </cell>
          <cell r="EB14">
            <v>39</v>
          </cell>
          <cell r="EC14">
            <v>80</v>
          </cell>
          <cell r="ED14">
            <v>5</v>
          </cell>
          <cell r="EE14">
            <v>10</v>
          </cell>
          <cell r="EF14">
            <v>0</v>
          </cell>
          <cell r="EG14">
            <v>20</v>
          </cell>
          <cell r="EH14">
            <v>79</v>
          </cell>
          <cell r="EI14">
            <v>0</v>
          </cell>
          <cell r="EJ14">
            <v>8</v>
          </cell>
          <cell r="EK14">
            <v>0</v>
          </cell>
          <cell r="EL14">
            <v>1</v>
          </cell>
          <cell r="EM14">
            <v>0</v>
          </cell>
          <cell r="EN14">
            <v>3</v>
          </cell>
          <cell r="EO14">
            <v>1</v>
          </cell>
          <cell r="EP14">
            <v>0</v>
          </cell>
          <cell r="EQ14">
            <v>0</v>
          </cell>
          <cell r="ER14">
            <v>17</v>
          </cell>
          <cell r="ES14">
            <v>4</v>
          </cell>
          <cell r="ET14">
            <v>1</v>
          </cell>
          <cell r="EU14">
            <v>0</v>
          </cell>
          <cell r="EV14">
            <v>2</v>
          </cell>
          <cell r="EW14">
            <v>1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80</v>
          </cell>
          <cell r="FC14">
            <v>5</v>
          </cell>
          <cell r="FD14">
            <v>39</v>
          </cell>
          <cell r="FE14">
            <v>0</v>
          </cell>
          <cell r="FF14">
            <v>17</v>
          </cell>
          <cell r="FG14">
            <v>10</v>
          </cell>
          <cell r="FH14">
            <v>0</v>
          </cell>
          <cell r="FI14">
            <v>0</v>
          </cell>
          <cell r="FJ14">
            <v>0</v>
          </cell>
          <cell r="FK14">
            <v>1</v>
          </cell>
          <cell r="FL14">
            <v>10</v>
          </cell>
          <cell r="FM14">
            <v>14</v>
          </cell>
          <cell r="FN14">
            <v>10</v>
          </cell>
          <cell r="FO14">
            <v>0</v>
          </cell>
          <cell r="FP14">
            <v>7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16</v>
          </cell>
          <cell r="FW14">
            <v>3</v>
          </cell>
          <cell r="FX14">
            <v>22</v>
          </cell>
          <cell r="FY14">
            <v>0</v>
          </cell>
          <cell r="FZ14">
            <v>2</v>
          </cell>
          <cell r="GA14">
            <v>10</v>
          </cell>
          <cell r="GB14">
            <v>3</v>
          </cell>
          <cell r="GC14">
            <v>2</v>
          </cell>
          <cell r="GD14">
            <v>0</v>
          </cell>
          <cell r="GE14">
            <v>0</v>
          </cell>
        </row>
        <row r="15">
          <cell r="B15">
            <v>11</v>
          </cell>
          <cell r="C15">
            <v>1711</v>
          </cell>
          <cell r="D15">
            <v>0</v>
          </cell>
          <cell r="E15">
            <v>2</v>
          </cell>
          <cell r="F15">
            <v>0</v>
          </cell>
          <cell r="G15">
            <v>9</v>
          </cell>
          <cell r="H15">
            <v>505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712</v>
          </cell>
          <cell r="N15">
            <v>4</v>
          </cell>
          <cell r="O15">
            <v>8</v>
          </cell>
          <cell r="P15">
            <v>0</v>
          </cell>
          <cell r="Q15">
            <v>8</v>
          </cell>
          <cell r="R15">
            <v>7626</v>
          </cell>
          <cell r="S15">
            <v>49</v>
          </cell>
          <cell r="T15">
            <v>371</v>
          </cell>
          <cell r="U15">
            <v>0</v>
          </cell>
          <cell r="V15">
            <v>312</v>
          </cell>
          <cell r="W15">
            <v>0</v>
          </cell>
          <cell r="X15">
            <v>8</v>
          </cell>
          <cell r="Y15">
            <v>96</v>
          </cell>
          <cell r="Z15">
            <v>3</v>
          </cell>
          <cell r="AA15">
            <v>16</v>
          </cell>
          <cell r="AB15">
            <v>249</v>
          </cell>
          <cell r="AC15">
            <v>16</v>
          </cell>
          <cell r="AD15">
            <v>19</v>
          </cell>
          <cell r="AE15">
            <v>0</v>
          </cell>
          <cell r="AF15">
            <v>22</v>
          </cell>
          <cell r="AG15">
            <v>27</v>
          </cell>
          <cell r="AH15">
            <v>9</v>
          </cell>
          <cell r="AI15">
            <v>18</v>
          </cell>
          <cell r="AJ15">
            <v>0</v>
          </cell>
          <cell r="AK15">
            <v>5</v>
          </cell>
          <cell r="AL15">
            <v>181</v>
          </cell>
          <cell r="AM15">
            <v>1</v>
          </cell>
          <cell r="AN15">
            <v>3</v>
          </cell>
          <cell r="AO15">
            <v>0</v>
          </cell>
          <cell r="AP15">
            <v>4</v>
          </cell>
          <cell r="AQ15">
            <v>108</v>
          </cell>
          <cell r="AR15">
            <v>11</v>
          </cell>
          <cell r="AS15">
            <v>63</v>
          </cell>
          <cell r="AT15">
            <v>0</v>
          </cell>
          <cell r="AU15">
            <v>11</v>
          </cell>
          <cell r="AV15">
            <v>23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87</v>
          </cell>
          <cell r="BB15">
            <v>3</v>
          </cell>
          <cell r="BC15">
            <v>0</v>
          </cell>
          <cell r="BD15">
            <v>0</v>
          </cell>
          <cell r="BE15">
            <v>0</v>
          </cell>
          <cell r="BF15">
            <v>60</v>
          </cell>
          <cell r="BG15">
            <v>0</v>
          </cell>
          <cell r="BH15">
            <v>1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422</v>
          </cell>
          <cell r="BQ15">
            <v>0</v>
          </cell>
          <cell r="BR15">
            <v>21</v>
          </cell>
          <cell r="BS15">
            <v>0</v>
          </cell>
          <cell r="BT15">
            <v>74</v>
          </cell>
          <cell r="BU15">
            <v>2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410</v>
          </cell>
          <cell r="CA15">
            <v>4</v>
          </cell>
          <cell r="CB15">
            <v>29</v>
          </cell>
          <cell r="CC15">
            <v>0</v>
          </cell>
          <cell r="CD15">
            <v>31</v>
          </cell>
          <cell r="CE15">
            <v>10</v>
          </cell>
          <cell r="CF15">
            <v>8</v>
          </cell>
          <cell r="CG15">
            <v>5</v>
          </cell>
          <cell r="CH15">
            <v>0</v>
          </cell>
          <cell r="CI15">
            <v>10</v>
          </cell>
          <cell r="CJ15">
            <v>5</v>
          </cell>
          <cell r="CK15">
            <v>2</v>
          </cell>
          <cell r="CL15">
            <v>1</v>
          </cell>
          <cell r="CM15">
            <v>0</v>
          </cell>
          <cell r="CN15">
            <v>1</v>
          </cell>
          <cell r="CO15">
            <v>1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2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8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10</v>
          </cell>
          <cell r="DE15">
            <v>4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3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12</v>
          </cell>
          <cell r="DQ15">
            <v>0</v>
          </cell>
          <cell r="DR15">
            <v>0</v>
          </cell>
          <cell r="DS15">
            <v>1594</v>
          </cell>
          <cell r="DT15">
            <v>51</v>
          </cell>
          <cell r="DU15">
            <v>301</v>
          </cell>
          <cell r="DV15">
            <v>0</v>
          </cell>
          <cell r="DW15">
            <v>88</v>
          </cell>
          <cell r="DX15">
            <v>1022</v>
          </cell>
          <cell r="DY15">
            <v>3</v>
          </cell>
          <cell r="DZ15">
            <v>99</v>
          </cell>
          <cell r="EA15">
            <v>0</v>
          </cell>
          <cell r="EB15">
            <v>36</v>
          </cell>
          <cell r="EC15">
            <v>83</v>
          </cell>
          <cell r="ED15">
            <v>7</v>
          </cell>
          <cell r="EE15">
            <v>39</v>
          </cell>
          <cell r="EF15">
            <v>0</v>
          </cell>
          <cell r="EG15">
            <v>22</v>
          </cell>
          <cell r="EH15">
            <v>31</v>
          </cell>
          <cell r="EI15">
            <v>0</v>
          </cell>
          <cell r="EJ15">
            <v>11</v>
          </cell>
          <cell r="EK15">
            <v>0</v>
          </cell>
          <cell r="EL15">
            <v>5</v>
          </cell>
          <cell r="EM15">
            <v>2</v>
          </cell>
          <cell r="EN15">
            <v>2</v>
          </cell>
          <cell r="EO15">
            <v>2</v>
          </cell>
          <cell r="EP15">
            <v>0</v>
          </cell>
          <cell r="EQ15">
            <v>2</v>
          </cell>
          <cell r="ER15">
            <v>31</v>
          </cell>
          <cell r="ES15">
            <v>2</v>
          </cell>
          <cell r="ET15">
            <v>5</v>
          </cell>
          <cell r="EU15">
            <v>0</v>
          </cell>
          <cell r="EV15">
            <v>4</v>
          </cell>
          <cell r="EW15">
            <v>4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118</v>
          </cell>
          <cell r="FC15">
            <v>2</v>
          </cell>
          <cell r="FD15">
            <v>8</v>
          </cell>
          <cell r="FE15">
            <v>0</v>
          </cell>
          <cell r="FF15">
            <v>6</v>
          </cell>
          <cell r="FG15">
            <v>10</v>
          </cell>
          <cell r="FH15">
            <v>4</v>
          </cell>
          <cell r="FI15">
            <v>0</v>
          </cell>
          <cell r="FJ15">
            <v>0</v>
          </cell>
          <cell r="FK15">
            <v>4</v>
          </cell>
          <cell r="FL15">
            <v>15</v>
          </cell>
          <cell r="FM15">
            <v>10</v>
          </cell>
          <cell r="FN15">
            <v>12</v>
          </cell>
          <cell r="FO15">
            <v>0</v>
          </cell>
          <cell r="FP15">
            <v>6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16</v>
          </cell>
          <cell r="FW15">
            <v>0</v>
          </cell>
          <cell r="FX15">
            <v>10</v>
          </cell>
          <cell r="FY15">
            <v>0</v>
          </cell>
          <cell r="FZ15">
            <v>2</v>
          </cell>
          <cell r="GA15">
            <v>18</v>
          </cell>
          <cell r="GB15">
            <v>5</v>
          </cell>
          <cell r="GC15">
            <v>5</v>
          </cell>
          <cell r="GD15">
            <v>0</v>
          </cell>
          <cell r="GE15">
            <v>1</v>
          </cell>
        </row>
        <row r="16">
          <cell r="B16">
            <v>12</v>
          </cell>
          <cell r="C16">
            <v>1924</v>
          </cell>
          <cell r="D16">
            <v>0</v>
          </cell>
          <cell r="E16">
            <v>0</v>
          </cell>
          <cell r="F16">
            <v>0</v>
          </cell>
          <cell r="G16">
            <v>12</v>
          </cell>
          <cell r="H16">
            <v>548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776</v>
          </cell>
          <cell r="N16">
            <v>2</v>
          </cell>
          <cell r="O16">
            <v>6</v>
          </cell>
          <cell r="P16">
            <v>0</v>
          </cell>
          <cell r="Q16">
            <v>11</v>
          </cell>
          <cell r="R16">
            <v>10244</v>
          </cell>
          <cell r="S16">
            <v>54</v>
          </cell>
          <cell r="T16">
            <v>172</v>
          </cell>
          <cell r="U16">
            <v>0</v>
          </cell>
          <cell r="V16">
            <v>243</v>
          </cell>
          <cell r="W16">
            <v>0</v>
          </cell>
          <cell r="X16">
            <v>4</v>
          </cell>
          <cell r="Y16">
            <v>304</v>
          </cell>
          <cell r="Z16">
            <v>0</v>
          </cell>
          <cell r="AA16">
            <v>45</v>
          </cell>
          <cell r="AB16">
            <v>264</v>
          </cell>
          <cell r="AC16">
            <v>13</v>
          </cell>
          <cell r="AD16">
            <v>33</v>
          </cell>
          <cell r="AE16">
            <v>0</v>
          </cell>
          <cell r="AF16">
            <v>25</v>
          </cell>
          <cell r="AG16">
            <v>43</v>
          </cell>
          <cell r="AH16">
            <v>9</v>
          </cell>
          <cell r="AI16">
            <v>6</v>
          </cell>
          <cell r="AJ16">
            <v>0</v>
          </cell>
          <cell r="AK16">
            <v>4</v>
          </cell>
          <cell r="AL16">
            <v>195</v>
          </cell>
          <cell r="AM16">
            <v>0</v>
          </cell>
          <cell r="AN16">
            <v>3</v>
          </cell>
          <cell r="AO16">
            <v>0</v>
          </cell>
          <cell r="AP16">
            <v>5</v>
          </cell>
          <cell r="AQ16">
            <v>110</v>
          </cell>
          <cell r="AR16">
            <v>27</v>
          </cell>
          <cell r="AS16">
            <v>56</v>
          </cell>
          <cell r="AT16">
            <v>0</v>
          </cell>
          <cell r="AU16">
            <v>35</v>
          </cell>
          <cell r="AV16">
            <v>23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87</v>
          </cell>
          <cell r="BB16">
            <v>8</v>
          </cell>
          <cell r="BC16">
            <v>0</v>
          </cell>
          <cell r="BD16">
            <v>0</v>
          </cell>
          <cell r="BE16">
            <v>1</v>
          </cell>
          <cell r="BF16">
            <v>54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1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491</v>
          </cell>
          <cell r="BQ16">
            <v>3</v>
          </cell>
          <cell r="BR16">
            <v>56</v>
          </cell>
          <cell r="BS16">
            <v>0</v>
          </cell>
          <cell r="BT16">
            <v>161</v>
          </cell>
          <cell r="BU16">
            <v>3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460</v>
          </cell>
          <cell r="CA16">
            <v>11</v>
          </cell>
          <cell r="CB16">
            <v>43</v>
          </cell>
          <cell r="CC16">
            <v>0</v>
          </cell>
          <cell r="CD16">
            <v>51</v>
          </cell>
          <cell r="CE16">
            <v>10</v>
          </cell>
          <cell r="CF16">
            <v>72</v>
          </cell>
          <cell r="CG16">
            <v>3</v>
          </cell>
          <cell r="CH16">
            <v>0</v>
          </cell>
          <cell r="CI16">
            <v>1</v>
          </cell>
          <cell r="CJ16">
            <v>4</v>
          </cell>
          <cell r="CK16">
            <v>3</v>
          </cell>
          <cell r="CL16">
            <v>0</v>
          </cell>
          <cell r="CM16">
            <v>0</v>
          </cell>
          <cell r="CN16">
            <v>0</v>
          </cell>
          <cell r="CO16">
            <v>7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1</v>
          </cell>
          <cell r="CV16">
            <v>1</v>
          </cell>
          <cell r="CW16">
            <v>0</v>
          </cell>
          <cell r="CX16">
            <v>1</v>
          </cell>
          <cell r="CY16">
            <v>14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10</v>
          </cell>
          <cell r="DE16">
            <v>6</v>
          </cell>
          <cell r="DF16">
            <v>1</v>
          </cell>
          <cell r="DG16">
            <v>0</v>
          </cell>
          <cell r="DH16">
            <v>3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26</v>
          </cell>
          <cell r="DQ16">
            <v>0</v>
          </cell>
          <cell r="DR16">
            <v>3</v>
          </cell>
          <cell r="DS16">
            <v>2559</v>
          </cell>
          <cell r="DT16">
            <v>55</v>
          </cell>
          <cell r="DU16">
            <v>131</v>
          </cell>
          <cell r="DV16">
            <v>0</v>
          </cell>
          <cell r="DW16">
            <v>135</v>
          </cell>
          <cell r="DX16">
            <v>1627</v>
          </cell>
          <cell r="DY16">
            <v>4</v>
          </cell>
          <cell r="DZ16">
            <v>138</v>
          </cell>
          <cell r="EA16">
            <v>0</v>
          </cell>
          <cell r="EB16">
            <v>86</v>
          </cell>
          <cell r="EC16">
            <v>84</v>
          </cell>
          <cell r="ED16">
            <v>10</v>
          </cell>
          <cell r="EE16">
            <v>28</v>
          </cell>
          <cell r="EF16">
            <v>0</v>
          </cell>
          <cell r="EG16">
            <v>42</v>
          </cell>
          <cell r="EH16">
            <v>55</v>
          </cell>
          <cell r="EI16">
            <v>0</v>
          </cell>
          <cell r="EJ16">
            <v>19</v>
          </cell>
          <cell r="EK16">
            <v>0</v>
          </cell>
          <cell r="EL16">
            <v>13</v>
          </cell>
          <cell r="EM16">
            <v>7</v>
          </cell>
          <cell r="EN16">
            <v>4</v>
          </cell>
          <cell r="EO16">
            <v>6</v>
          </cell>
          <cell r="EP16">
            <v>0</v>
          </cell>
          <cell r="EQ16">
            <v>0</v>
          </cell>
          <cell r="ER16">
            <v>30</v>
          </cell>
          <cell r="ES16">
            <v>2</v>
          </cell>
          <cell r="ET16">
            <v>12</v>
          </cell>
          <cell r="EU16">
            <v>0</v>
          </cell>
          <cell r="EV16">
            <v>15</v>
          </cell>
          <cell r="EW16">
            <v>6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107</v>
          </cell>
          <cell r="FC16">
            <v>5</v>
          </cell>
          <cell r="FD16">
            <v>21</v>
          </cell>
          <cell r="FE16">
            <v>0</v>
          </cell>
          <cell r="FF16">
            <v>21</v>
          </cell>
          <cell r="FG16">
            <v>9</v>
          </cell>
          <cell r="FH16">
            <v>7</v>
          </cell>
          <cell r="FI16">
            <v>0</v>
          </cell>
          <cell r="FJ16">
            <v>0</v>
          </cell>
          <cell r="FK16">
            <v>1</v>
          </cell>
          <cell r="FL16">
            <v>18</v>
          </cell>
          <cell r="FM16">
            <v>20</v>
          </cell>
          <cell r="FN16">
            <v>17</v>
          </cell>
          <cell r="FO16">
            <v>0</v>
          </cell>
          <cell r="FP16">
            <v>13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14</v>
          </cell>
          <cell r="FW16">
            <v>0</v>
          </cell>
          <cell r="FX16">
            <v>13</v>
          </cell>
          <cell r="FY16">
            <v>0</v>
          </cell>
          <cell r="FZ16">
            <v>7</v>
          </cell>
          <cell r="GA16">
            <v>23</v>
          </cell>
          <cell r="GB16">
            <v>5</v>
          </cell>
          <cell r="GC16">
            <v>7</v>
          </cell>
          <cell r="GD16">
            <v>0</v>
          </cell>
          <cell r="GE16">
            <v>1</v>
          </cell>
        </row>
      </sheetData>
      <sheetData sheetId="6">
        <row r="5">
          <cell r="B5">
            <v>1</v>
          </cell>
          <cell r="C5">
            <v>2006</v>
          </cell>
          <cell r="D5">
            <v>0</v>
          </cell>
          <cell r="E5">
            <v>0</v>
          </cell>
          <cell r="F5">
            <v>0</v>
          </cell>
          <cell r="G5">
            <v>11</v>
          </cell>
          <cell r="H5">
            <v>562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887</v>
          </cell>
          <cell r="N5">
            <v>5</v>
          </cell>
          <cell r="O5">
            <v>7</v>
          </cell>
          <cell r="P5">
            <v>0</v>
          </cell>
          <cell r="Q5">
            <v>6</v>
          </cell>
          <cell r="R5">
            <v>9999</v>
          </cell>
          <cell r="S5">
            <v>42</v>
          </cell>
          <cell r="T5">
            <v>614</v>
          </cell>
          <cell r="U5">
            <v>0</v>
          </cell>
          <cell r="V5">
            <v>531</v>
          </cell>
          <cell r="W5">
            <v>0</v>
          </cell>
          <cell r="X5">
            <v>3</v>
          </cell>
          <cell r="Y5">
            <v>116</v>
          </cell>
          <cell r="Z5">
            <v>8</v>
          </cell>
          <cell r="AA5">
            <v>24</v>
          </cell>
          <cell r="AB5">
            <v>357</v>
          </cell>
          <cell r="AC5">
            <v>12</v>
          </cell>
          <cell r="AD5">
            <v>47</v>
          </cell>
          <cell r="AE5">
            <v>0</v>
          </cell>
          <cell r="AF5">
            <v>32</v>
          </cell>
          <cell r="AG5">
            <v>30</v>
          </cell>
          <cell r="AH5">
            <v>1</v>
          </cell>
          <cell r="AI5">
            <v>8</v>
          </cell>
          <cell r="AJ5">
            <v>0</v>
          </cell>
          <cell r="AK5">
            <v>2</v>
          </cell>
          <cell r="AL5">
            <v>195</v>
          </cell>
          <cell r="AM5">
            <v>0</v>
          </cell>
          <cell r="AN5">
            <v>3</v>
          </cell>
          <cell r="AO5">
            <v>0</v>
          </cell>
          <cell r="AP5">
            <v>2</v>
          </cell>
          <cell r="AQ5">
            <v>178</v>
          </cell>
          <cell r="AR5">
            <v>7</v>
          </cell>
          <cell r="AS5">
            <v>73</v>
          </cell>
          <cell r="AT5">
            <v>0</v>
          </cell>
          <cell r="AU5">
            <v>10</v>
          </cell>
          <cell r="AV5">
            <v>19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140</v>
          </cell>
          <cell r="BB5">
            <v>6</v>
          </cell>
          <cell r="BC5">
            <v>7</v>
          </cell>
          <cell r="BD5">
            <v>0</v>
          </cell>
          <cell r="BE5">
            <v>4</v>
          </cell>
          <cell r="BF5">
            <v>52</v>
          </cell>
          <cell r="BG5">
            <v>0</v>
          </cell>
          <cell r="BH5">
            <v>0</v>
          </cell>
          <cell r="BI5">
            <v>0</v>
          </cell>
          <cell r="BJ5">
            <v>2</v>
          </cell>
          <cell r="BK5">
            <v>9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484</v>
          </cell>
          <cell r="BQ5">
            <v>1</v>
          </cell>
          <cell r="BR5">
            <v>43</v>
          </cell>
          <cell r="BS5">
            <v>0</v>
          </cell>
          <cell r="BT5">
            <v>79</v>
          </cell>
          <cell r="BU5">
            <v>3</v>
          </cell>
          <cell r="BV5">
            <v>0</v>
          </cell>
          <cell r="BW5">
            <v>1</v>
          </cell>
          <cell r="BX5">
            <v>0</v>
          </cell>
          <cell r="BY5">
            <v>0</v>
          </cell>
          <cell r="BZ5">
            <v>416</v>
          </cell>
          <cell r="CA5">
            <v>0</v>
          </cell>
          <cell r="CB5">
            <v>25</v>
          </cell>
          <cell r="CC5">
            <v>0</v>
          </cell>
          <cell r="CD5">
            <v>29</v>
          </cell>
          <cell r="CE5">
            <v>11</v>
          </cell>
          <cell r="CF5">
            <v>3</v>
          </cell>
          <cell r="CG5">
            <v>4</v>
          </cell>
          <cell r="CH5">
            <v>0</v>
          </cell>
          <cell r="CI5">
            <v>6</v>
          </cell>
          <cell r="CJ5">
            <v>15</v>
          </cell>
          <cell r="CK5">
            <v>0</v>
          </cell>
          <cell r="CL5">
            <v>1</v>
          </cell>
          <cell r="CM5">
            <v>0</v>
          </cell>
          <cell r="CN5">
            <v>0</v>
          </cell>
          <cell r="CO5">
            <v>3</v>
          </cell>
          <cell r="CP5">
            <v>0</v>
          </cell>
          <cell r="CQ5">
            <v>1</v>
          </cell>
          <cell r="CR5">
            <v>0</v>
          </cell>
          <cell r="CS5">
            <v>1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9</v>
          </cell>
          <cell r="CZ5">
            <v>0</v>
          </cell>
          <cell r="DA5">
            <v>1</v>
          </cell>
          <cell r="DB5">
            <v>0</v>
          </cell>
          <cell r="DC5">
            <v>0</v>
          </cell>
          <cell r="DD5">
            <v>50</v>
          </cell>
          <cell r="DE5">
            <v>1</v>
          </cell>
          <cell r="DF5">
            <v>4</v>
          </cell>
          <cell r="DG5">
            <v>0</v>
          </cell>
          <cell r="DH5">
            <v>4</v>
          </cell>
          <cell r="DI5">
            <v>5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11</v>
          </cell>
          <cell r="DQ5">
            <v>0</v>
          </cell>
          <cell r="DR5">
            <v>7</v>
          </cell>
          <cell r="DS5">
            <v>2143</v>
          </cell>
          <cell r="DT5">
            <v>70</v>
          </cell>
          <cell r="DU5">
            <v>234</v>
          </cell>
          <cell r="DV5">
            <v>0</v>
          </cell>
          <cell r="DW5">
            <v>81</v>
          </cell>
          <cell r="DX5">
            <v>1174</v>
          </cell>
          <cell r="DY5">
            <v>0</v>
          </cell>
          <cell r="DZ5">
            <v>114</v>
          </cell>
          <cell r="EA5">
            <v>0</v>
          </cell>
          <cell r="EB5">
            <v>66</v>
          </cell>
          <cell r="EC5">
            <v>113</v>
          </cell>
          <cell r="ED5">
            <v>1</v>
          </cell>
          <cell r="EE5">
            <v>35</v>
          </cell>
          <cell r="EF5">
            <v>0</v>
          </cell>
          <cell r="EG5">
            <v>18</v>
          </cell>
          <cell r="EH5">
            <v>28</v>
          </cell>
          <cell r="EI5">
            <v>0</v>
          </cell>
          <cell r="EJ5">
            <v>7</v>
          </cell>
          <cell r="EK5">
            <v>0</v>
          </cell>
          <cell r="EL5">
            <v>1</v>
          </cell>
          <cell r="EM5">
            <v>0</v>
          </cell>
          <cell r="EN5">
            <v>3</v>
          </cell>
          <cell r="EO5">
            <v>2</v>
          </cell>
          <cell r="EP5">
            <v>0</v>
          </cell>
          <cell r="EQ5">
            <v>0</v>
          </cell>
          <cell r="ER5">
            <v>33</v>
          </cell>
          <cell r="ES5">
            <v>2</v>
          </cell>
          <cell r="ET5">
            <v>9</v>
          </cell>
          <cell r="EU5">
            <v>0</v>
          </cell>
          <cell r="EV5">
            <v>10</v>
          </cell>
          <cell r="EW5">
            <v>4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122</v>
          </cell>
          <cell r="FC5">
            <v>2</v>
          </cell>
          <cell r="FD5">
            <v>6</v>
          </cell>
          <cell r="FE5">
            <v>0</v>
          </cell>
          <cell r="FF5">
            <v>5</v>
          </cell>
          <cell r="FG5">
            <v>13</v>
          </cell>
          <cell r="FH5">
            <v>0</v>
          </cell>
          <cell r="FI5">
            <v>2</v>
          </cell>
          <cell r="FJ5">
            <v>0</v>
          </cell>
          <cell r="FK5">
            <v>0</v>
          </cell>
          <cell r="FL5">
            <v>13</v>
          </cell>
          <cell r="FM5">
            <v>14</v>
          </cell>
          <cell r="FN5">
            <v>11</v>
          </cell>
          <cell r="FO5">
            <v>0</v>
          </cell>
          <cell r="FP5">
            <v>12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19</v>
          </cell>
          <cell r="FW5">
            <v>0</v>
          </cell>
          <cell r="FX5">
            <v>18</v>
          </cell>
          <cell r="FY5">
            <v>0</v>
          </cell>
          <cell r="FZ5">
            <v>5</v>
          </cell>
          <cell r="GA5">
            <v>20</v>
          </cell>
          <cell r="GB5">
            <v>2</v>
          </cell>
          <cell r="GC5">
            <v>3</v>
          </cell>
          <cell r="GD5">
            <v>0</v>
          </cell>
          <cell r="GE5">
            <v>0</v>
          </cell>
        </row>
        <row r="6">
          <cell r="B6">
            <v>2</v>
          </cell>
          <cell r="C6">
            <v>1158</v>
          </cell>
          <cell r="D6">
            <v>0</v>
          </cell>
          <cell r="E6">
            <v>0</v>
          </cell>
          <cell r="F6">
            <v>0</v>
          </cell>
          <cell r="G6">
            <v>2</v>
          </cell>
          <cell r="H6">
            <v>303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516</v>
          </cell>
          <cell r="N6">
            <v>4</v>
          </cell>
          <cell r="O6">
            <v>10</v>
          </cell>
          <cell r="P6">
            <v>0</v>
          </cell>
          <cell r="Q6">
            <v>7</v>
          </cell>
          <cell r="R6">
            <v>5688</v>
          </cell>
          <cell r="S6">
            <v>25</v>
          </cell>
          <cell r="T6">
            <v>456</v>
          </cell>
          <cell r="U6">
            <v>0</v>
          </cell>
          <cell r="V6">
            <v>265</v>
          </cell>
          <cell r="W6">
            <v>0</v>
          </cell>
          <cell r="X6">
            <v>2</v>
          </cell>
          <cell r="Y6">
            <v>138</v>
          </cell>
          <cell r="Z6">
            <v>0</v>
          </cell>
          <cell r="AA6">
            <v>40</v>
          </cell>
          <cell r="AB6">
            <v>192</v>
          </cell>
          <cell r="AC6">
            <v>7</v>
          </cell>
          <cell r="AD6">
            <v>35</v>
          </cell>
          <cell r="AE6">
            <v>0</v>
          </cell>
          <cell r="AF6">
            <v>17</v>
          </cell>
          <cell r="AG6">
            <v>27</v>
          </cell>
          <cell r="AH6">
            <v>0</v>
          </cell>
          <cell r="AI6">
            <v>1</v>
          </cell>
          <cell r="AJ6">
            <v>0</v>
          </cell>
          <cell r="AK6">
            <v>1</v>
          </cell>
          <cell r="AL6">
            <v>128</v>
          </cell>
          <cell r="AM6">
            <v>0</v>
          </cell>
          <cell r="AN6">
            <v>1</v>
          </cell>
          <cell r="AO6">
            <v>0</v>
          </cell>
          <cell r="AP6">
            <v>1</v>
          </cell>
          <cell r="AQ6">
            <v>102</v>
          </cell>
          <cell r="AR6">
            <v>19</v>
          </cell>
          <cell r="AS6">
            <v>52</v>
          </cell>
          <cell r="AT6">
            <v>0</v>
          </cell>
          <cell r="AU6">
            <v>12</v>
          </cell>
          <cell r="AV6">
            <v>13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86</v>
          </cell>
          <cell r="BB6">
            <v>7</v>
          </cell>
          <cell r="BC6">
            <v>7</v>
          </cell>
          <cell r="BD6">
            <v>0</v>
          </cell>
          <cell r="BE6">
            <v>4</v>
          </cell>
          <cell r="BF6">
            <v>28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3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267</v>
          </cell>
          <cell r="BQ6">
            <v>1</v>
          </cell>
          <cell r="BR6">
            <v>63</v>
          </cell>
          <cell r="BS6">
            <v>0</v>
          </cell>
          <cell r="BT6">
            <v>43</v>
          </cell>
          <cell r="BU6">
            <v>2</v>
          </cell>
          <cell r="BV6">
            <v>0</v>
          </cell>
          <cell r="BW6">
            <v>1</v>
          </cell>
          <cell r="BX6">
            <v>0</v>
          </cell>
          <cell r="BY6">
            <v>0</v>
          </cell>
          <cell r="BZ6">
            <v>257</v>
          </cell>
          <cell r="CA6">
            <v>2</v>
          </cell>
          <cell r="CB6">
            <v>28</v>
          </cell>
          <cell r="CC6">
            <v>0</v>
          </cell>
          <cell r="CD6">
            <v>21</v>
          </cell>
          <cell r="CE6">
            <v>9</v>
          </cell>
          <cell r="CF6">
            <v>0</v>
          </cell>
          <cell r="CG6">
            <v>22</v>
          </cell>
          <cell r="CH6">
            <v>0</v>
          </cell>
          <cell r="CI6">
            <v>6</v>
          </cell>
          <cell r="CJ6">
            <v>8</v>
          </cell>
          <cell r="CK6">
            <v>0</v>
          </cell>
          <cell r="CL6">
            <v>1</v>
          </cell>
          <cell r="CM6">
            <v>0</v>
          </cell>
          <cell r="CN6">
            <v>2</v>
          </cell>
          <cell r="CO6">
            <v>2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11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23</v>
          </cell>
          <cell r="DE6">
            <v>6</v>
          </cell>
          <cell r="DF6">
            <v>5</v>
          </cell>
          <cell r="DG6">
            <v>0</v>
          </cell>
          <cell r="DH6">
            <v>4</v>
          </cell>
          <cell r="DI6">
            <v>4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18</v>
          </cell>
          <cell r="DQ6">
            <v>0</v>
          </cell>
          <cell r="DR6">
            <v>3</v>
          </cell>
          <cell r="DS6">
            <v>1224</v>
          </cell>
          <cell r="DT6">
            <v>52</v>
          </cell>
          <cell r="DU6">
            <v>307</v>
          </cell>
          <cell r="DV6">
            <v>0</v>
          </cell>
          <cell r="DW6">
            <v>112</v>
          </cell>
          <cell r="DX6">
            <v>734</v>
          </cell>
          <cell r="DY6">
            <v>5</v>
          </cell>
          <cell r="DZ6">
            <v>147</v>
          </cell>
          <cell r="EA6">
            <v>0</v>
          </cell>
          <cell r="EB6">
            <v>47</v>
          </cell>
          <cell r="EC6">
            <v>66</v>
          </cell>
          <cell r="ED6">
            <v>0</v>
          </cell>
          <cell r="EE6">
            <v>31</v>
          </cell>
          <cell r="EF6">
            <v>0</v>
          </cell>
          <cell r="EG6">
            <v>18</v>
          </cell>
          <cell r="EH6">
            <v>35</v>
          </cell>
          <cell r="EI6">
            <v>0</v>
          </cell>
          <cell r="EJ6">
            <v>24</v>
          </cell>
          <cell r="EK6">
            <v>0</v>
          </cell>
          <cell r="EL6">
            <v>9</v>
          </cell>
          <cell r="EM6">
            <v>3</v>
          </cell>
          <cell r="EN6">
            <v>3</v>
          </cell>
          <cell r="EO6">
            <v>1</v>
          </cell>
          <cell r="EP6">
            <v>0</v>
          </cell>
          <cell r="EQ6">
            <v>1</v>
          </cell>
          <cell r="ER6">
            <v>20</v>
          </cell>
          <cell r="ES6">
            <v>2</v>
          </cell>
          <cell r="ET6">
            <v>12</v>
          </cell>
          <cell r="EU6">
            <v>0</v>
          </cell>
          <cell r="EV6">
            <v>5</v>
          </cell>
          <cell r="EW6">
            <v>2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70</v>
          </cell>
          <cell r="FC6">
            <v>3</v>
          </cell>
          <cell r="FD6">
            <v>22</v>
          </cell>
          <cell r="FE6">
            <v>0</v>
          </cell>
          <cell r="FF6">
            <v>11</v>
          </cell>
          <cell r="FG6">
            <v>16</v>
          </cell>
          <cell r="FH6">
            <v>0</v>
          </cell>
          <cell r="FI6">
            <v>1</v>
          </cell>
          <cell r="FJ6">
            <v>0</v>
          </cell>
          <cell r="FK6">
            <v>0</v>
          </cell>
          <cell r="FL6">
            <v>10</v>
          </cell>
          <cell r="FM6">
            <v>7</v>
          </cell>
          <cell r="FN6">
            <v>17</v>
          </cell>
          <cell r="FO6">
            <v>0</v>
          </cell>
          <cell r="FP6">
            <v>3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7</v>
          </cell>
          <cell r="FW6">
            <v>0</v>
          </cell>
          <cell r="FX6">
            <v>6</v>
          </cell>
          <cell r="FY6">
            <v>0</v>
          </cell>
          <cell r="FZ6">
            <v>4</v>
          </cell>
          <cell r="GA6">
            <v>16</v>
          </cell>
          <cell r="GB6">
            <v>3</v>
          </cell>
          <cell r="GC6">
            <v>4</v>
          </cell>
          <cell r="GD6">
            <v>0</v>
          </cell>
          <cell r="GE6">
            <v>2</v>
          </cell>
        </row>
        <row r="7">
          <cell r="B7">
            <v>3</v>
          </cell>
          <cell r="C7">
            <v>966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267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430</v>
          </cell>
          <cell r="N7">
            <v>1</v>
          </cell>
          <cell r="O7">
            <v>15</v>
          </cell>
          <cell r="P7">
            <v>0</v>
          </cell>
          <cell r="Q7">
            <v>4</v>
          </cell>
          <cell r="R7">
            <v>4625</v>
          </cell>
          <cell r="S7">
            <v>2</v>
          </cell>
          <cell r="T7">
            <v>171</v>
          </cell>
          <cell r="U7">
            <v>0</v>
          </cell>
          <cell r="V7">
            <v>57</v>
          </cell>
          <cell r="W7">
            <v>0</v>
          </cell>
          <cell r="X7">
            <v>2</v>
          </cell>
          <cell r="Y7">
            <v>27</v>
          </cell>
          <cell r="Z7">
            <v>0</v>
          </cell>
          <cell r="AA7">
            <v>18</v>
          </cell>
          <cell r="AB7">
            <v>162</v>
          </cell>
          <cell r="AC7">
            <v>5</v>
          </cell>
          <cell r="AD7">
            <v>40</v>
          </cell>
          <cell r="AE7">
            <v>0</v>
          </cell>
          <cell r="AF7">
            <v>9</v>
          </cell>
          <cell r="AG7">
            <v>15</v>
          </cell>
          <cell r="AH7">
            <v>4</v>
          </cell>
          <cell r="AI7">
            <v>5</v>
          </cell>
          <cell r="AJ7">
            <v>0</v>
          </cell>
          <cell r="AK7">
            <v>3</v>
          </cell>
          <cell r="AL7">
            <v>88</v>
          </cell>
          <cell r="AM7">
            <v>0</v>
          </cell>
          <cell r="AN7">
            <v>0</v>
          </cell>
          <cell r="AO7">
            <v>0</v>
          </cell>
          <cell r="AP7">
            <v>1</v>
          </cell>
          <cell r="AQ7">
            <v>72</v>
          </cell>
          <cell r="AR7">
            <v>4</v>
          </cell>
          <cell r="AS7">
            <v>52</v>
          </cell>
          <cell r="AT7">
            <v>0</v>
          </cell>
          <cell r="AU7">
            <v>6</v>
          </cell>
          <cell r="AV7">
            <v>13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73</v>
          </cell>
          <cell r="BB7">
            <v>5</v>
          </cell>
          <cell r="BC7">
            <v>3</v>
          </cell>
          <cell r="BD7">
            <v>0</v>
          </cell>
          <cell r="BE7">
            <v>1</v>
          </cell>
          <cell r="BF7">
            <v>23</v>
          </cell>
          <cell r="BG7">
            <v>0</v>
          </cell>
          <cell r="BH7">
            <v>0</v>
          </cell>
          <cell r="BI7">
            <v>0</v>
          </cell>
          <cell r="BJ7">
            <v>1</v>
          </cell>
          <cell r="BK7">
            <v>2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248</v>
          </cell>
          <cell r="BQ7">
            <v>0</v>
          </cell>
          <cell r="BR7">
            <v>59</v>
          </cell>
          <cell r="BS7">
            <v>0</v>
          </cell>
          <cell r="BT7">
            <v>31</v>
          </cell>
          <cell r="BU7">
            <v>3</v>
          </cell>
          <cell r="BV7">
            <v>1</v>
          </cell>
          <cell r="BW7">
            <v>0</v>
          </cell>
          <cell r="BX7">
            <v>0</v>
          </cell>
          <cell r="BY7">
            <v>0</v>
          </cell>
          <cell r="BZ7">
            <v>203</v>
          </cell>
          <cell r="CA7">
            <v>0</v>
          </cell>
          <cell r="CB7">
            <v>24</v>
          </cell>
          <cell r="CC7">
            <v>0</v>
          </cell>
          <cell r="CD7">
            <v>12</v>
          </cell>
          <cell r="CE7">
            <v>5</v>
          </cell>
          <cell r="CF7">
            <v>2</v>
          </cell>
          <cell r="CG7">
            <v>5</v>
          </cell>
          <cell r="CH7">
            <v>0</v>
          </cell>
          <cell r="CI7">
            <v>3</v>
          </cell>
          <cell r="CJ7">
            <v>4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6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11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11</v>
          </cell>
          <cell r="DQ7">
            <v>0</v>
          </cell>
          <cell r="DR7">
            <v>0</v>
          </cell>
          <cell r="DS7">
            <v>1179</v>
          </cell>
          <cell r="DT7">
            <v>26</v>
          </cell>
          <cell r="DU7">
            <v>171</v>
          </cell>
          <cell r="DV7">
            <v>0</v>
          </cell>
          <cell r="DW7">
            <v>37</v>
          </cell>
          <cell r="DX7">
            <v>577</v>
          </cell>
          <cell r="DY7">
            <v>0</v>
          </cell>
          <cell r="DZ7">
            <v>73</v>
          </cell>
          <cell r="EA7">
            <v>0</v>
          </cell>
          <cell r="EB7">
            <v>11</v>
          </cell>
          <cell r="EC7">
            <v>51</v>
          </cell>
          <cell r="ED7">
            <v>1</v>
          </cell>
          <cell r="EE7">
            <v>31</v>
          </cell>
          <cell r="EF7">
            <v>0</v>
          </cell>
          <cell r="EG7">
            <v>28</v>
          </cell>
          <cell r="EH7">
            <v>13</v>
          </cell>
          <cell r="EI7">
            <v>0</v>
          </cell>
          <cell r="EJ7">
            <v>1</v>
          </cell>
          <cell r="EK7">
            <v>0</v>
          </cell>
          <cell r="EL7">
            <v>1</v>
          </cell>
          <cell r="EM7">
            <v>0</v>
          </cell>
          <cell r="EN7">
            <v>3</v>
          </cell>
          <cell r="EO7">
            <v>3</v>
          </cell>
          <cell r="EP7">
            <v>0</v>
          </cell>
          <cell r="EQ7">
            <v>0</v>
          </cell>
          <cell r="ER7">
            <v>17</v>
          </cell>
          <cell r="ES7">
            <v>1</v>
          </cell>
          <cell r="ET7">
            <v>4</v>
          </cell>
          <cell r="EU7">
            <v>0</v>
          </cell>
          <cell r="EV7">
            <v>0</v>
          </cell>
          <cell r="EW7">
            <v>2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67</v>
          </cell>
          <cell r="FC7">
            <v>1</v>
          </cell>
          <cell r="FD7">
            <v>10</v>
          </cell>
          <cell r="FE7">
            <v>0</v>
          </cell>
          <cell r="FF7">
            <v>4</v>
          </cell>
          <cell r="FG7">
            <v>6</v>
          </cell>
          <cell r="FH7">
            <v>0</v>
          </cell>
          <cell r="FI7">
            <v>1</v>
          </cell>
          <cell r="FJ7">
            <v>0</v>
          </cell>
          <cell r="FK7">
            <v>1</v>
          </cell>
          <cell r="FL7">
            <v>8</v>
          </cell>
          <cell r="FM7">
            <v>5</v>
          </cell>
          <cell r="FN7">
            <v>14</v>
          </cell>
          <cell r="FO7">
            <v>0</v>
          </cell>
          <cell r="FP7">
            <v>7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</v>
          </cell>
          <cell r="FV7">
            <v>5</v>
          </cell>
          <cell r="FW7">
            <v>0</v>
          </cell>
          <cell r="FX7">
            <v>2</v>
          </cell>
          <cell r="FY7">
            <v>1</v>
          </cell>
          <cell r="FZ7">
            <v>1</v>
          </cell>
          <cell r="GA7">
            <v>9</v>
          </cell>
          <cell r="GB7">
            <v>1</v>
          </cell>
          <cell r="GC7">
            <v>0</v>
          </cell>
          <cell r="GD7">
            <v>0</v>
          </cell>
          <cell r="GE7">
            <v>0</v>
          </cell>
        </row>
        <row r="8">
          <cell r="B8">
            <v>4</v>
          </cell>
          <cell r="C8">
            <v>1466</v>
          </cell>
          <cell r="D8">
            <v>0</v>
          </cell>
          <cell r="E8">
            <v>0</v>
          </cell>
          <cell r="F8">
            <v>0</v>
          </cell>
          <cell r="G8">
            <v>13</v>
          </cell>
          <cell r="H8">
            <v>429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645</v>
          </cell>
          <cell r="N8">
            <v>3</v>
          </cell>
          <cell r="O8">
            <v>10</v>
          </cell>
          <cell r="P8">
            <v>0</v>
          </cell>
          <cell r="Q8">
            <v>0</v>
          </cell>
          <cell r="R8">
            <v>7657</v>
          </cell>
          <cell r="S8">
            <v>19</v>
          </cell>
          <cell r="T8">
            <v>246</v>
          </cell>
          <cell r="U8">
            <v>0</v>
          </cell>
          <cell r="V8">
            <v>296</v>
          </cell>
          <cell r="W8">
            <v>0</v>
          </cell>
          <cell r="X8">
            <v>6</v>
          </cell>
          <cell r="Y8">
            <v>225</v>
          </cell>
          <cell r="Z8">
            <v>0</v>
          </cell>
          <cell r="AA8">
            <v>65</v>
          </cell>
          <cell r="AB8">
            <v>197</v>
          </cell>
          <cell r="AC8">
            <v>10</v>
          </cell>
          <cell r="AD8">
            <v>53</v>
          </cell>
          <cell r="AE8">
            <v>0</v>
          </cell>
          <cell r="AF8">
            <v>25</v>
          </cell>
          <cell r="AG8">
            <v>38</v>
          </cell>
          <cell r="AH8">
            <v>3</v>
          </cell>
          <cell r="AI8">
            <v>4</v>
          </cell>
          <cell r="AJ8">
            <v>0</v>
          </cell>
          <cell r="AK8">
            <v>5</v>
          </cell>
          <cell r="AL8">
            <v>175</v>
          </cell>
          <cell r="AM8">
            <v>0</v>
          </cell>
          <cell r="AN8">
            <v>0</v>
          </cell>
          <cell r="AO8">
            <v>0</v>
          </cell>
          <cell r="AP8">
            <v>2</v>
          </cell>
          <cell r="AQ8">
            <v>132</v>
          </cell>
          <cell r="AR8">
            <v>19</v>
          </cell>
          <cell r="AS8">
            <v>62</v>
          </cell>
          <cell r="AT8">
            <v>0</v>
          </cell>
          <cell r="AU8">
            <v>9</v>
          </cell>
          <cell r="AV8">
            <v>26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117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43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2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418</v>
          </cell>
          <cell r="BQ8">
            <v>2</v>
          </cell>
          <cell r="BR8">
            <v>28</v>
          </cell>
          <cell r="BS8">
            <v>0</v>
          </cell>
          <cell r="BT8">
            <v>69</v>
          </cell>
          <cell r="BU8">
            <v>6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315</v>
          </cell>
          <cell r="CA8">
            <v>6</v>
          </cell>
          <cell r="CB8">
            <v>20</v>
          </cell>
          <cell r="CC8">
            <v>0</v>
          </cell>
          <cell r="CD8">
            <v>14</v>
          </cell>
          <cell r="CE8">
            <v>4</v>
          </cell>
          <cell r="CF8">
            <v>2</v>
          </cell>
          <cell r="CG8">
            <v>7</v>
          </cell>
          <cell r="CH8">
            <v>0</v>
          </cell>
          <cell r="CI8">
            <v>5</v>
          </cell>
          <cell r="CJ8">
            <v>8</v>
          </cell>
          <cell r="CK8">
            <v>0</v>
          </cell>
          <cell r="CL8">
            <v>1</v>
          </cell>
          <cell r="CM8">
            <v>0</v>
          </cell>
          <cell r="CN8">
            <v>1</v>
          </cell>
          <cell r="CO8">
            <v>4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</v>
          </cell>
          <cell r="CY8">
            <v>11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10</v>
          </cell>
          <cell r="DE8">
            <v>1</v>
          </cell>
          <cell r="DF8">
            <v>0</v>
          </cell>
          <cell r="DG8">
            <v>0</v>
          </cell>
          <cell r="DH8">
            <v>1</v>
          </cell>
          <cell r="DI8">
            <v>8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4</v>
          </cell>
          <cell r="DQ8">
            <v>0</v>
          </cell>
          <cell r="DR8">
            <v>5</v>
          </cell>
          <cell r="DS8">
            <v>1521</v>
          </cell>
          <cell r="DT8">
            <v>50</v>
          </cell>
          <cell r="DU8">
            <v>237</v>
          </cell>
          <cell r="DV8">
            <v>0</v>
          </cell>
          <cell r="DW8">
            <v>91</v>
          </cell>
          <cell r="DX8">
            <v>788</v>
          </cell>
          <cell r="DY8">
            <v>5</v>
          </cell>
          <cell r="DZ8">
            <v>40</v>
          </cell>
          <cell r="EA8">
            <v>0</v>
          </cell>
          <cell r="EB8">
            <v>24</v>
          </cell>
          <cell r="EC8">
            <v>75</v>
          </cell>
          <cell r="ED8">
            <v>8</v>
          </cell>
          <cell r="EE8">
            <v>46</v>
          </cell>
          <cell r="EF8">
            <v>0</v>
          </cell>
          <cell r="EG8">
            <v>21</v>
          </cell>
          <cell r="EH8">
            <v>21</v>
          </cell>
          <cell r="EI8">
            <v>0</v>
          </cell>
          <cell r="EJ8">
            <v>2</v>
          </cell>
          <cell r="EK8">
            <v>0</v>
          </cell>
          <cell r="EL8">
            <v>3</v>
          </cell>
          <cell r="EM8">
            <v>0</v>
          </cell>
          <cell r="EN8">
            <v>4</v>
          </cell>
          <cell r="EO8">
            <v>0</v>
          </cell>
          <cell r="EP8">
            <v>0</v>
          </cell>
          <cell r="EQ8">
            <v>1</v>
          </cell>
          <cell r="ER8">
            <v>34</v>
          </cell>
          <cell r="ES8">
            <v>1</v>
          </cell>
          <cell r="ET8">
            <v>2</v>
          </cell>
          <cell r="EU8">
            <v>0</v>
          </cell>
          <cell r="EV8">
            <v>7</v>
          </cell>
          <cell r="EW8">
            <v>2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99</v>
          </cell>
          <cell r="FC8">
            <v>4</v>
          </cell>
          <cell r="FD8">
            <v>4</v>
          </cell>
          <cell r="FE8">
            <v>0</v>
          </cell>
          <cell r="FF8">
            <v>8</v>
          </cell>
          <cell r="FG8">
            <v>8</v>
          </cell>
          <cell r="FH8">
            <v>2</v>
          </cell>
          <cell r="FI8">
            <v>0</v>
          </cell>
          <cell r="FJ8">
            <v>0</v>
          </cell>
          <cell r="FK8">
            <v>0</v>
          </cell>
          <cell r="FL8">
            <v>16</v>
          </cell>
          <cell r="FM8">
            <v>21</v>
          </cell>
          <cell r="FN8">
            <v>8</v>
          </cell>
          <cell r="FO8">
            <v>0</v>
          </cell>
          <cell r="FP8">
            <v>7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8</v>
          </cell>
          <cell r="FW8">
            <v>4</v>
          </cell>
          <cell r="FX8">
            <v>4</v>
          </cell>
          <cell r="FY8">
            <v>0</v>
          </cell>
          <cell r="FZ8">
            <v>0</v>
          </cell>
          <cell r="GA8">
            <v>22</v>
          </cell>
          <cell r="GB8">
            <v>7</v>
          </cell>
          <cell r="GC8">
            <v>2</v>
          </cell>
          <cell r="GD8">
            <v>0</v>
          </cell>
          <cell r="GE8">
            <v>2</v>
          </cell>
        </row>
        <row r="9">
          <cell r="B9">
            <v>5</v>
          </cell>
          <cell r="C9">
            <v>1668</v>
          </cell>
          <cell r="D9">
            <v>0</v>
          </cell>
          <cell r="E9">
            <v>2</v>
          </cell>
          <cell r="F9">
            <v>0</v>
          </cell>
          <cell r="G9">
            <v>18</v>
          </cell>
          <cell r="H9">
            <v>520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755</v>
          </cell>
          <cell r="N9">
            <v>7</v>
          </cell>
          <cell r="O9">
            <v>11</v>
          </cell>
          <cell r="P9">
            <v>0</v>
          </cell>
          <cell r="Q9">
            <v>5</v>
          </cell>
          <cell r="R9">
            <v>8653</v>
          </cell>
          <cell r="S9">
            <v>20</v>
          </cell>
          <cell r="T9">
            <v>392</v>
          </cell>
          <cell r="U9">
            <v>0</v>
          </cell>
          <cell r="V9">
            <v>364</v>
          </cell>
          <cell r="W9">
            <v>0</v>
          </cell>
          <cell r="X9">
            <v>3</v>
          </cell>
          <cell r="Y9">
            <v>317</v>
          </cell>
          <cell r="Z9">
            <v>0</v>
          </cell>
          <cell r="AA9">
            <v>10</v>
          </cell>
          <cell r="AB9">
            <v>226</v>
          </cell>
          <cell r="AC9">
            <v>19</v>
          </cell>
          <cell r="AD9">
            <v>51</v>
          </cell>
          <cell r="AE9">
            <v>0</v>
          </cell>
          <cell r="AF9">
            <v>16</v>
          </cell>
          <cell r="AG9">
            <v>44</v>
          </cell>
          <cell r="AH9">
            <v>6</v>
          </cell>
          <cell r="AI9">
            <v>6</v>
          </cell>
          <cell r="AJ9">
            <v>0</v>
          </cell>
          <cell r="AK9">
            <v>1</v>
          </cell>
          <cell r="AL9">
            <v>200</v>
          </cell>
          <cell r="AM9">
            <v>0</v>
          </cell>
          <cell r="AN9">
            <v>0</v>
          </cell>
          <cell r="AO9">
            <v>0</v>
          </cell>
          <cell r="AP9">
            <v>7</v>
          </cell>
          <cell r="AQ9">
            <v>138</v>
          </cell>
          <cell r="AR9">
            <v>27</v>
          </cell>
          <cell r="AS9">
            <v>67</v>
          </cell>
          <cell r="AT9">
            <v>0</v>
          </cell>
          <cell r="AU9">
            <v>22</v>
          </cell>
          <cell r="AV9">
            <v>26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120</v>
          </cell>
          <cell r="BB9">
            <v>3</v>
          </cell>
          <cell r="BC9">
            <v>1</v>
          </cell>
          <cell r="BD9">
            <v>0</v>
          </cell>
          <cell r="BE9">
            <v>0</v>
          </cell>
          <cell r="BF9">
            <v>47</v>
          </cell>
          <cell r="BG9">
            <v>0</v>
          </cell>
          <cell r="BH9">
            <v>1</v>
          </cell>
          <cell r="BI9">
            <v>0</v>
          </cell>
          <cell r="BJ9">
            <v>0</v>
          </cell>
          <cell r="BK9">
            <v>3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409</v>
          </cell>
          <cell r="BQ9">
            <v>2</v>
          </cell>
          <cell r="BR9">
            <v>61</v>
          </cell>
          <cell r="BS9">
            <v>0</v>
          </cell>
          <cell r="BT9">
            <v>109</v>
          </cell>
          <cell r="BU9">
            <v>4</v>
          </cell>
          <cell r="BV9">
            <v>1</v>
          </cell>
          <cell r="BW9">
            <v>1</v>
          </cell>
          <cell r="BX9">
            <v>0</v>
          </cell>
          <cell r="BY9">
            <v>0</v>
          </cell>
          <cell r="BZ9">
            <v>385</v>
          </cell>
          <cell r="CA9">
            <v>1</v>
          </cell>
          <cell r="CB9">
            <v>19</v>
          </cell>
          <cell r="CC9">
            <v>0</v>
          </cell>
          <cell r="CD9">
            <v>10</v>
          </cell>
          <cell r="CE9">
            <v>11</v>
          </cell>
          <cell r="CF9">
            <v>3</v>
          </cell>
          <cell r="CG9">
            <v>3</v>
          </cell>
          <cell r="CH9">
            <v>0</v>
          </cell>
          <cell r="CI9">
            <v>4</v>
          </cell>
          <cell r="CJ9">
            <v>7</v>
          </cell>
          <cell r="CK9">
            <v>4</v>
          </cell>
          <cell r="CL9">
            <v>1</v>
          </cell>
          <cell r="CM9">
            <v>0</v>
          </cell>
          <cell r="CN9">
            <v>1</v>
          </cell>
          <cell r="CO9">
            <v>8</v>
          </cell>
          <cell r="CP9">
            <v>2</v>
          </cell>
          <cell r="CQ9">
            <v>0</v>
          </cell>
          <cell r="CR9">
            <v>0</v>
          </cell>
          <cell r="CS9">
            <v>1</v>
          </cell>
          <cell r="CT9">
            <v>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12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13</v>
          </cell>
          <cell r="DE9">
            <v>1</v>
          </cell>
          <cell r="DF9">
            <v>2</v>
          </cell>
          <cell r="DG9">
            <v>0</v>
          </cell>
          <cell r="DH9">
            <v>7</v>
          </cell>
          <cell r="DI9">
            <v>5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2</v>
          </cell>
          <cell r="DQ9">
            <v>0</v>
          </cell>
          <cell r="DR9">
            <v>1</v>
          </cell>
          <cell r="DS9">
            <v>1734</v>
          </cell>
          <cell r="DT9">
            <v>76</v>
          </cell>
          <cell r="DU9">
            <v>400</v>
          </cell>
          <cell r="DV9">
            <v>0</v>
          </cell>
          <cell r="DW9">
            <v>172</v>
          </cell>
          <cell r="DX9">
            <v>964</v>
          </cell>
          <cell r="DY9">
            <v>1</v>
          </cell>
          <cell r="DZ9">
            <v>188</v>
          </cell>
          <cell r="EA9">
            <v>0</v>
          </cell>
          <cell r="EB9">
            <v>81</v>
          </cell>
          <cell r="EC9">
            <v>72</v>
          </cell>
          <cell r="ED9">
            <v>4</v>
          </cell>
          <cell r="EE9">
            <v>38</v>
          </cell>
          <cell r="EF9">
            <v>0</v>
          </cell>
          <cell r="EG9">
            <v>15</v>
          </cell>
          <cell r="EH9">
            <v>38</v>
          </cell>
          <cell r="EI9">
            <v>0</v>
          </cell>
          <cell r="EJ9">
            <v>7</v>
          </cell>
          <cell r="EK9">
            <v>0</v>
          </cell>
          <cell r="EL9">
            <v>8</v>
          </cell>
          <cell r="EM9">
            <v>1</v>
          </cell>
          <cell r="EN9">
            <v>9</v>
          </cell>
          <cell r="EO9">
            <v>7</v>
          </cell>
          <cell r="EP9">
            <v>0</v>
          </cell>
          <cell r="EQ9">
            <v>1</v>
          </cell>
          <cell r="ER9">
            <v>30</v>
          </cell>
          <cell r="ES9">
            <v>4</v>
          </cell>
          <cell r="ET9">
            <v>9</v>
          </cell>
          <cell r="EU9">
            <v>0</v>
          </cell>
          <cell r="EV9">
            <v>7</v>
          </cell>
          <cell r="EW9">
            <v>5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110</v>
          </cell>
          <cell r="FC9">
            <v>4</v>
          </cell>
          <cell r="FD9">
            <v>12</v>
          </cell>
          <cell r="FE9">
            <v>0</v>
          </cell>
          <cell r="FF9">
            <v>10</v>
          </cell>
          <cell r="FG9">
            <v>12</v>
          </cell>
          <cell r="FH9">
            <v>0</v>
          </cell>
          <cell r="FI9">
            <v>0</v>
          </cell>
          <cell r="FJ9">
            <v>0</v>
          </cell>
          <cell r="FK9">
            <v>4</v>
          </cell>
          <cell r="FL9">
            <v>21</v>
          </cell>
          <cell r="FM9">
            <v>19</v>
          </cell>
          <cell r="FN9">
            <v>17</v>
          </cell>
          <cell r="FO9">
            <v>0</v>
          </cell>
          <cell r="FP9">
            <v>10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11</v>
          </cell>
          <cell r="FW9">
            <v>2</v>
          </cell>
          <cell r="FX9">
            <v>8</v>
          </cell>
          <cell r="FY9">
            <v>0</v>
          </cell>
          <cell r="FZ9">
            <v>3</v>
          </cell>
          <cell r="GA9">
            <v>29</v>
          </cell>
          <cell r="GB9">
            <v>6</v>
          </cell>
          <cell r="GC9">
            <v>4</v>
          </cell>
          <cell r="GD9">
            <v>0</v>
          </cell>
          <cell r="GE9">
            <v>2</v>
          </cell>
        </row>
        <row r="10">
          <cell r="B10">
            <v>6</v>
          </cell>
          <cell r="C10">
            <v>1899</v>
          </cell>
          <cell r="D10">
            <v>0</v>
          </cell>
          <cell r="E10">
            <v>0</v>
          </cell>
          <cell r="F10">
            <v>0</v>
          </cell>
          <cell r="G10">
            <v>24</v>
          </cell>
          <cell r="H10">
            <v>468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749</v>
          </cell>
          <cell r="N10">
            <v>1</v>
          </cell>
          <cell r="O10">
            <v>29</v>
          </cell>
          <cell r="P10">
            <v>0</v>
          </cell>
          <cell r="Q10">
            <v>5</v>
          </cell>
          <cell r="R10">
            <v>8181</v>
          </cell>
          <cell r="S10">
            <v>11</v>
          </cell>
          <cell r="T10">
            <v>290</v>
          </cell>
          <cell r="U10">
            <v>0</v>
          </cell>
          <cell r="V10">
            <v>303</v>
          </cell>
          <cell r="W10">
            <v>0</v>
          </cell>
          <cell r="X10">
            <v>28</v>
          </cell>
          <cell r="Y10">
            <v>250</v>
          </cell>
          <cell r="Z10">
            <v>0</v>
          </cell>
          <cell r="AA10">
            <v>11</v>
          </cell>
          <cell r="AB10">
            <v>257</v>
          </cell>
          <cell r="AC10">
            <v>12</v>
          </cell>
          <cell r="AD10">
            <v>53</v>
          </cell>
          <cell r="AE10">
            <v>0</v>
          </cell>
          <cell r="AF10">
            <v>15</v>
          </cell>
          <cell r="AG10">
            <v>30</v>
          </cell>
          <cell r="AH10">
            <v>7</v>
          </cell>
          <cell r="AI10">
            <v>13</v>
          </cell>
          <cell r="AJ10">
            <v>0</v>
          </cell>
          <cell r="AK10">
            <v>2</v>
          </cell>
          <cell r="AL10">
            <v>192</v>
          </cell>
          <cell r="AM10">
            <v>0</v>
          </cell>
          <cell r="AN10">
            <v>1</v>
          </cell>
          <cell r="AO10">
            <v>0</v>
          </cell>
          <cell r="AP10">
            <v>1</v>
          </cell>
          <cell r="AQ10">
            <v>126</v>
          </cell>
          <cell r="AR10">
            <v>21</v>
          </cell>
          <cell r="AS10">
            <v>71</v>
          </cell>
          <cell r="AT10">
            <v>0</v>
          </cell>
          <cell r="AU10">
            <v>19</v>
          </cell>
          <cell r="AV10">
            <v>23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109</v>
          </cell>
          <cell r="BB10">
            <v>3</v>
          </cell>
          <cell r="BC10">
            <v>1</v>
          </cell>
          <cell r="BD10">
            <v>0</v>
          </cell>
          <cell r="BE10">
            <v>2</v>
          </cell>
          <cell r="BF10">
            <v>34</v>
          </cell>
          <cell r="BG10">
            <v>0</v>
          </cell>
          <cell r="BH10">
            <v>3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471</v>
          </cell>
          <cell r="BQ10">
            <v>0</v>
          </cell>
          <cell r="BR10">
            <v>49</v>
          </cell>
          <cell r="BS10">
            <v>0</v>
          </cell>
          <cell r="BT10">
            <v>33</v>
          </cell>
          <cell r="BU10">
            <v>3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395</v>
          </cell>
          <cell r="CA10">
            <v>3</v>
          </cell>
          <cell r="CB10">
            <v>75</v>
          </cell>
          <cell r="CC10">
            <v>0</v>
          </cell>
          <cell r="CD10">
            <v>30</v>
          </cell>
          <cell r="CE10">
            <v>11</v>
          </cell>
          <cell r="CF10">
            <v>4</v>
          </cell>
          <cell r="CG10">
            <v>3</v>
          </cell>
          <cell r="CH10">
            <v>0</v>
          </cell>
          <cell r="CI10">
            <v>1</v>
          </cell>
          <cell r="CJ10">
            <v>8</v>
          </cell>
          <cell r="CK10">
            <v>2</v>
          </cell>
          <cell r="CL10">
            <v>0</v>
          </cell>
          <cell r="CM10">
            <v>0</v>
          </cell>
          <cell r="CN10">
            <v>3</v>
          </cell>
          <cell r="CO10">
            <v>3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9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14</v>
          </cell>
          <cell r="DE10">
            <v>2</v>
          </cell>
          <cell r="DF10">
            <v>6</v>
          </cell>
          <cell r="DG10">
            <v>0</v>
          </cell>
          <cell r="DH10">
            <v>1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</v>
          </cell>
          <cell r="DQ10">
            <v>0</v>
          </cell>
          <cell r="DR10">
            <v>3</v>
          </cell>
          <cell r="DS10">
            <v>1518</v>
          </cell>
          <cell r="DT10">
            <v>59</v>
          </cell>
          <cell r="DU10">
            <v>493</v>
          </cell>
          <cell r="DV10">
            <v>0</v>
          </cell>
          <cell r="DW10">
            <v>236</v>
          </cell>
          <cell r="DX10">
            <v>1043</v>
          </cell>
          <cell r="DY10">
            <v>0</v>
          </cell>
          <cell r="DZ10">
            <v>98</v>
          </cell>
          <cell r="EA10">
            <v>0</v>
          </cell>
          <cell r="EB10">
            <v>31</v>
          </cell>
          <cell r="EC10">
            <v>100</v>
          </cell>
          <cell r="ED10">
            <v>9</v>
          </cell>
          <cell r="EE10">
            <v>81</v>
          </cell>
          <cell r="EF10">
            <v>0</v>
          </cell>
          <cell r="EG10">
            <v>49</v>
          </cell>
          <cell r="EH10">
            <v>40</v>
          </cell>
          <cell r="EI10">
            <v>0</v>
          </cell>
          <cell r="EJ10">
            <v>16</v>
          </cell>
          <cell r="EK10">
            <v>0</v>
          </cell>
          <cell r="EL10">
            <v>3</v>
          </cell>
          <cell r="EM10">
            <v>1</v>
          </cell>
          <cell r="EN10">
            <v>2</v>
          </cell>
          <cell r="EO10">
            <v>2</v>
          </cell>
          <cell r="EP10">
            <v>0</v>
          </cell>
          <cell r="EQ10">
            <v>0</v>
          </cell>
          <cell r="ER10">
            <v>33</v>
          </cell>
          <cell r="ES10">
            <v>0</v>
          </cell>
          <cell r="ET10">
            <v>10</v>
          </cell>
          <cell r="EU10">
            <v>0</v>
          </cell>
          <cell r="EV10">
            <v>4</v>
          </cell>
          <cell r="EW10">
            <v>3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109</v>
          </cell>
          <cell r="FC10">
            <v>1</v>
          </cell>
          <cell r="FD10">
            <v>15</v>
          </cell>
          <cell r="FE10">
            <v>0</v>
          </cell>
          <cell r="FF10">
            <v>6</v>
          </cell>
          <cell r="FG10">
            <v>11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14</v>
          </cell>
          <cell r="FM10">
            <v>13</v>
          </cell>
          <cell r="FN10">
            <v>24</v>
          </cell>
          <cell r="FO10">
            <v>0</v>
          </cell>
          <cell r="FP10">
            <v>6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13</v>
          </cell>
          <cell r="FW10">
            <v>1</v>
          </cell>
          <cell r="FX10">
            <v>4</v>
          </cell>
          <cell r="FY10">
            <v>0</v>
          </cell>
          <cell r="FZ10">
            <v>1</v>
          </cell>
          <cell r="GA10">
            <v>23</v>
          </cell>
          <cell r="GB10">
            <v>5</v>
          </cell>
          <cell r="GC10">
            <v>5</v>
          </cell>
          <cell r="GD10">
            <v>0</v>
          </cell>
          <cell r="GE10">
            <v>1</v>
          </cell>
        </row>
        <row r="11">
          <cell r="B11">
            <v>7</v>
          </cell>
          <cell r="C11">
            <v>1468</v>
          </cell>
          <cell r="D11">
            <v>0</v>
          </cell>
          <cell r="E11">
            <v>0</v>
          </cell>
          <cell r="F11">
            <v>0</v>
          </cell>
          <cell r="G11">
            <v>9</v>
          </cell>
          <cell r="H11">
            <v>385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654</v>
          </cell>
          <cell r="N11">
            <v>0</v>
          </cell>
          <cell r="O11">
            <v>6</v>
          </cell>
          <cell r="P11">
            <v>0</v>
          </cell>
          <cell r="Q11">
            <v>9</v>
          </cell>
          <cell r="R11">
            <v>7154</v>
          </cell>
          <cell r="S11">
            <v>13</v>
          </cell>
          <cell r="T11">
            <v>273</v>
          </cell>
          <cell r="U11">
            <v>0</v>
          </cell>
          <cell r="V11">
            <v>510</v>
          </cell>
          <cell r="W11">
            <v>0</v>
          </cell>
          <cell r="X11">
            <v>0</v>
          </cell>
          <cell r="Y11">
            <v>153</v>
          </cell>
          <cell r="Z11">
            <v>0</v>
          </cell>
          <cell r="AA11">
            <v>16</v>
          </cell>
          <cell r="AB11">
            <v>267</v>
          </cell>
          <cell r="AC11">
            <v>2</v>
          </cell>
          <cell r="AD11">
            <v>28</v>
          </cell>
          <cell r="AE11">
            <v>0</v>
          </cell>
          <cell r="AF11">
            <v>25</v>
          </cell>
          <cell r="AG11">
            <v>17</v>
          </cell>
          <cell r="AH11">
            <v>3</v>
          </cell>
          <cell r="AI11">
            <v>6</v>
          </cell>
          <cell r="AJ11">
            <v>0</v>
          </cell>
          <cell r="AK11">
            <v>2</v>
          </cell>
          <cell r="AL11">
            <v>124</v>
          </cell>
          <cell r="AM11">
            <v>0</v>
          </cell>
          <cell r="AN11">
            <v>2</v>
          </cell>
          <cell r="AO11">
            <v>0</v>
          </cell>
          <cell r="AP11">
            <v>2</v>
          </cell>
          <cell r="AQ11">
            <v>121</v>
          </cell>
          <cell r="AR11">
            <v>1</v>
          </cell>
          <cell r="AS11">
            <v>39</v>
          </cell>
          <cell r="AT11">
            <v>0</v>
          </cell>
          <cell r="AU11">
            <v>24</v>
          </cell>
          <cell r="AV11">
            <v>8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98</v>
          </cell>
          <cell r="BB11">
            <v>2</v>
          </cell>
          <cell r="BC11">
            <v>1</v>
          </cell>
          <cell r="BD11">
            <v>0</v>
          </cell>
          <cell r="BE11">
            <v>4</v>
          </cell>
          <cell r="BF11">
            <v>44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4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470</v>
          </cell>
          <cell r="BQ11">
            <v>0</v>
          </cell>
          <cell r="BR11">
            <v>37</v>
          </cell>
          <cell r="BS11">
            <v>0</v>
          </cell>
          <cell r="BT11">
            <v>83</v>
          </cell>
          <cell r="BU11">
            <v>3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331</v>
          </cell>
          <cell r="CA11">
            <v>1</v>
          </cell>
          <cell r="CB11">
            <v>27</v>
          </cell>
          <cell r="CC11">
            <v>0</v>
          </cell>
          <cell r="CD11">
            <v>24</v>
          </cell>
          <cell r="CE11">
            <v>3</v>
          </cell>
          <cell r="CF11">
            <v>1</v>
          </cell>
          <cell r="CG11">
            <v>3</v>
          </cell>
          <cell r="CH11">
            <v>0</v>
          </cell>
          <cell r="CI11">
            <v>2</v>
          </cell>
          <cell r="CJ11">
            <v>3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4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1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8</v>
          </cell>
          <cell r="CZ11">
            <v>0</v>
          </cell>
          <cell r="DA11">
            <v>0</v>
          </cell>
          <cell r="DB11">
            <v>0</v>
          </cell>
          <cell r="DC11">
            <v>1</v>
          </cell>
          <cell r="DD11">
            <v>8</v>
          </cell>
          <cell r="DE11">
            <v>1</v>
          </cell>
          <cell r="DF11">
            <v>0</v>
          </cell>
          <cell r="DG11">
            <v>0</v>
          </cell>
          <cell r="DH11">
            <v>1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14</v>
          </cell>
          <cell r="DQ11">
            <v>0</v>
          </cell>
          <cell r="DR11">
            <v>5</v>
          </cell>
          <cell r="DS11">
            <v>1587</v>
          </cell>
          <cell r="DT11">
            <v>20</v>
          </cell>
          <cell r="DU11">
            <v>229</v>
          </cell>
          <cell r="DV11">
            <v>0</v>
          </cell>
          <cell r="DW11">
            <v>90</v>
          </cell>
          <cell r="DX11">
            <v>1012</v>
          </cell>
          <cell r="DY11">
            <v>0</v>
          </cell>
          <cell r="DZ11">
            <v>158</v>
          </cell>
          <cell r="EA11">
            <v>0</v>
          </cell>
          <cell r="EB11">
            <v>54</v>
          </cell>
          <cell r="EC11">
            <v>73</v>
          </cell>
          <cell r="ED11">
            <v>1</v>
          </cell>
          <cell r="EE11">
            <v>17</v>
          </cell>
          <cell r="EF11">
            <v>0</v>
          </cell>
          <cell r="EG11">
            <v>26</v>
          </cell>
          <cell r="EH11">
            <v>39</v>
          </cell>
          <cell r="EI11">
            <v>0</v>
          </cell>
          <cell r="EJ11">
            <v>16</v>
          </cell>
          <cell r="EK11">
            <v>0</v>
          </cell>
          <cell r="EL11">
            <v>1</v>
          </cell>
          <cell r="EM11">
            <v>0</v>
          </cell>
          <cell r="EN11">
            <v>2</v>
          </cell>
          <cell r="EO11">
            <v>5</v>
          </cell>
          <cell r="EP11">
            <v>0</v>
          </cell>
          <cell r="EQ11">
            <v>0</v>
          </cell>
          <cell r="ER11">
            <v>20</v>
          </cell>
          <cell r="ES11">
            <v>1</v>
          </cell>
          <cell r="ET11">
            <v>19</v>
          </cell>
          <cell r="EU11">
            <v>0</v>
          </cell>
          <cell r="EV11">
            <v>13</v>
          </cell>
          <cell r="EW11">
            <v>3</v>
          </cell>
          <cell r="EX11">
            <v>1</v>
          </cell>
          <cell r="EY11">
            <v>1</v>
          </cell>
          <cell r="EZ11">
            <v>0</v>
          </cell>
          <cell r="FA11">
            <v>0</v>
          </cell>
          <cell r="FB11">
            <v>94</v>
          </cell>
          <cell r="FC11">
            <v>0</v>
          </cell>
          <cell r="FD11">
            <v>11</v>
          </cell>
          <cell r="FE11">
            <v>0</v>
          </cell>
          <cell r="FF11">
            <v>18</v>
          </cell>
          <cell r="FG11">
            <v>3</v>
          </cell>
          <cell r="FH11">
            <v>1</v>
          </cell>
          <cell r="FI11">
            <v>0</v>
          </cell>
          <cell r="FJ11">
            <v>0</v>
          </cell>
          <cell r="FK11">
            <v>0</v>
          </cell>
          <cell r="FL11">
            <v>9</v>
          </cell>
          <cell r="FM11">
            <v>11</v>
          </cell>
          <cell r="FN11">
            <v>23</v>
          </cell>
          <cell r="FO11">
            <v>0</v>
          </cell>
          <cell r="FP11">
            <v>11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12</v>
          </cell>
          <cell r="FW11">
            <v>0</v>
          </cell>
          <cell r="FX11">
            <v>13</v>
          </cell>
          <cell r="FY11">
            <v>0</v>
          </cell>
          <cell r="FZ11">
            <v>4</v>
          </cell>
          <cell r="GA11">
            <v>11</v>
          </cell>
          <cell r="GB11">
            <v>7</v>
          </cell>
          <cell r="GC11">
            <v>3</v>
          </cell>
          <cell r="GD11">
            <v>0</v>
          </cell>
          <cell r="GE11">
            <v>0</v>
          </cell>
        </row>
        <row r="12">
          <cell r="B12">
            <v>8</v>
          </cell>
          <cell r="C12">
            <v>1346</v>
          </cell>
          <cell r="D12">
            <v>0</v>
          </cell>
          <cell r="E12">
            <v>0</v>
          </cell>
          <cell r="F12">
            <v>0</v>
          </cell>
          <cell r="G12">
            <v>7</v>
          </cell>
          <cell r="H12">
            <v>379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668</v>
          </cell>
          <cell r="N12">
            <v>3</v>
          </cell>
          <cell r="O12">
            <v>20</v>
          </cell>
          <cell r="P12">
            <v>0</v>
          </cell>
          <cell r="Q12">
            <v>12</v>
          </cell>
          <cell r="R12">
            <v>7325</v>
          </cell>
          <cell r="S12">
            <v>10</v>
          </cell>
          <cell r="T12">
            <v>824</v>
          </cell>
          <cell r="U12">
            <v>0</v>
          </cell>
          <cell r="V12">
            <v>462</v>
          </cell>
          <cell r="W12">
            <v>0</v>
          </cell>
          <cell r="X12">
            <v>0</v>
          </cell>
          <cell r="Y12">
            <v>172</v>
          </cell>
          <cell r="Z12">
            <v>0</v>
          </cell>
          <cell r="AA12">
            <v>96</v>
          </cell>
          <cell r="AB12">
            <v>249</v>
          </cell>
          <cell r="AC12">
            <v>9</v>
          </cell>
          <cell r="AD12">
            <v>45</v>
          </cell>
          <cell r="AE12">
            <v>0</v>
          </cell>
          <cell r="AF12">
            <v>26</v>
          </cell>
          <cell r="AG12">
            <v>20</v>
          </cell>
          <cell r="AH12">
            <v>5</v>
          </cell>
          <cell r="AI12">
            <v>8</v>
          </cell>
          <cell r="AJ12">
            <v>0</v>
          </cell>
          <cell r="AK12">
            <v>1</v>
          </cell>
          <cell r="AL12">
            <v>159</v>
          </cell>
          <cell r="AM12">
            <v>0</v>
          </cell>
          <cell r="AN12">
            <v>4</v>
          </cell>
          <cell r="AO12">
            <v>0</v>
          </cell>
          <cell r="AP12">
            <v>6</v>
          </cell>
          <cell r="AQ12">
            <v>131</v>
          </cell>
          <cell r="AR12">
            <v>10</v>
          </cell>
          <cell r="AS12">
            <v>68</v>
          </cell>
          <cell r="AT12">
            <v>0</v>
          </cell>
          <cell r="AU12">
            <v>22</v>
          </cell>
          <cell r="AV12">
            <v>15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89</v>
          </cell>
          <cell r="BB12">
            <v>0</v>
          </cell>
          <cell r="BC12">
            <v>5</v>
          </cell>
          <cell r="BD12">
            <v>0</v>
          </cell>
          <cell r="BE12">
            <v>0</v>
          </cell>
          <cell r="BF12">
            <v>43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2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442</v>
          </cell>
          <cell r="BQ12">
            <v>0</v>
          </cell>
          <cell r="BR12">
            <v>72</v>
          </cell>
          <cell r="BS12">
            <v>0</v>
          </cell>
          <cell r="BT12">
            <v>78</v>
          </cell>
          <cell r="BU12">
            <v>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355</v>
          </cell>
          <cell r="CA12">
            <v>0</v>
          </cell>
          <cell r="CB12">
            <v>45</v>
          </cell>
          <cell r="CC12">
            <v>0</v>
          </cell>
          <cell r="CD12">
            <v>29</v>
          </cell>
          <cell r="CE12">
            <v>5</v>
          </cell>
          <cell r="CF12">
            <v>4</v>
          </cell>
          <cell r="CG12">
            <v>2</v>
          </cell>
          <cell r="CH12">
            <v>0</v>
          </cell>
          <cell r="CI12">
            <v>6</v>
          </cell>
          <cell r="CJ12">
            <v>4</v>
          </cell>
          <cell r="CK12">
            <v>0</v>
          </cell>
          <cell r="CL12">
            <v>1</v>
          </cell>
          <cell r="CM12">
            <v>0</v>
          </cell>
          <cell r="CN12">
            <v>1</v>
          </cell>
          <cell r="CO12">
            <v>1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2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7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8</v>
          </cell>
          <cell r="DE12">
            <v>5</v>
          </cell>
          <cell r="DF12">
            <v>0</v>
          </cell>
          <cell r="DG12">
            <v>0</v>
          </cell>
          <cell r="DH12">
            <v>0</v>
          </cell>
          <cell r="DI12">
            <v>6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44</v>
          </cell>
          <cell r="DQ12">
            <v>0</v>
          </cell>
          <cell r="DR12">
            <v>19</v>
          </cell>
          <cell r="DS12">
            <v>1756</v>
          </cell>
          <cell r="DT12">
            <v>36</v>
          </cell>
          <cell r="DU12">
            <v>709</v>
          </cell>
          <cell r="DV12">
            <v>0</v>
          </cell>
          <cell r="DW12">
            <v>136</v>
          </cell>
          <cell r="DX12">
            <v>950</v>
          </cell>
          <cell r="DY12">
            <v>0</v>
          </cell>
          <cell r="DZ12">
            <v>96</v>
          </cell>
          <cell r="EA12">
            <v>0</v>
          </cell>
          <cell r="EB12">
            <v>36</v>
          </cell>
          <cell r="EC12">
            <v>86</v>
          </cell>
          <cell r="ED12">
            <v>4</v>
          </cell>
          <cell r="EE12">
            <v>78</v>
          </cell>
          <cell r="EF12">
            <v>0</v>
          </cell>
          <cell r="EG12">
            <v>43</v>
          </cell>
          <cell r="EH12">
            <v>44</v>
          </cell>
          <cell r="EI12">
            <v>0</v>
          </cell>
          <cell r="EJ12">
            <v>14</v>
          </cell>
          <cell r="EK12">
            <v>0</v>
          </cell>
          <cell r="EL12">
            <v>3</v>
          </cell>
          <cell r="EM12">
            <v>2</v>
          </cell>
          <cell r="EN12">
            <v>1</v>
          </cell>
          <cell r="EO12">
            <v>0</v>
          </cell>
          <cell r="EP12">
            <v>0</v>
          </cell>
          <cell r="EQ12">
            <v>1</v>
          </cell>
          <cell r="ER12">
            <v>23</v>
          </cell>
          <cell r="ES12">
            <v>2</v>
          </cell>
          <cell r="ET12">
            <v>14</v>
          </cell>
          <cell r="EU12">
            <v>0</v>
          </cell>
          <cell r="EV12">
            <v>14</v>
          </cell>
          <cell r="EW12">
            <v>2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112</v>
          </cell>
          <cell r="FC12">
            <v>4</v>
          </cell>
          <cell r="FD12">
            <v>17</v>
          </cell>
          <cell r="FE12">
            <v>0</v>
          </cell>
          <cell r="FF12">
            <v>12</v>
          </cell>
          <cell r="FG12">
            <v>4</v>
          </cell>
          <cell r="FH12">
            <v>3</v>
          </cell>
          <cell r="FI12">
            <v>1</v>
          </cell>
          <cell r="FJ12">
            <v>0</v>
          </cell>
          <cell r="FK12">
            <v>0</v>
          </cell>
          <cell r="FL12">
            <v>9</v>
          </cell>
          <cell r="FM12">
            <v>20</v>
          </cell>
          <cell r="FN12">
            <v>17</v>
          </cell>
          <cell r="FO12">
            <v>0</v>
          </cell>
          <cell r="FP12">
            <v>22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12</v>
          </cell>
          <cell r="FW12">
            <v>3</v>
          </cell>
          <cell r="FX12">
            <v>13</v>
          </cell>
          <cell r="FY12">
            <v>0</v>
          </cell>
          <cell r="FZ12">
            <v>8</v>
          </cell>
          <cell r="GA12">
            <v>8</v>
          </cell>
          <cell r="GB12">
            <v>3</v>
          </cell>
          <cell r="GC12">
            <v>5</v>
          </cell>
          <cell r="GD12">
            <v>0</v>
          </cell>
          <cell r="GE12">
            <v>1</v>
          </cell>
        </row>
        <row r="13">
          <cell r="B13">
            <v>9</v>
          </cell>
          <cell r="C13">
            <v>1887</v>
          </cell>
          <cell r="D13">
            <v>0</v>
          </cell>
          <cell r="E13">
            <v>0</v>
          </cell>
          <cell r="F13">
            <v>0</v>
          </cell>
          <cell r="G13">
            <v>20</v>
          </cell>
          <cell r="H13">
            <v>518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771</v>
          </cell>
          <cell r="N13">
            <v>0</v>
          </cell>
          <cell r="O13">
            <v>10</v>
          </cell>
          <cell r="P13">
            <v>0</v>
          </cell>
          <cell r="Q13">
            <v>15</v>
          </cell>
          <cell r="R13">
            <v>9094</v>
          </cell>
          <cell r="S13">
            <v>3</v>
          </cell>
          <cell r="T13">
            <v>233</v>
          </cell>
          <cell r="U13">
            <v>0</v>
          </cell>
          <cell r="V13">
            <v>283</v>
          </cell>
          <cell r="W13">
            <v>0</v>
          </cell>
          <cell r="X13">
            <v>9</v>
          </cell>
          <cell r="Y13">
            <v>93</v>
          </cell>
          <cell r="Z13">
            <v>0</v>
          </cell>
          <cell r="AA13">
            <v>61</v>
          </cell>
          <cell r="AB13">
            <v>323</v>
          </cell>
          <cell r="AC13">
            <v>11</v>
          </cell>
          <cell r="AD13">
            <v>30</v>
          </cell>
          <cell r="AE13">
            <v>0</v>
          </cell>
          <cell r="AF13">
            <v>24</v>
          </cell>
          <cell r="AG13">
            <v>16</v>
          </cell>
          <cell r="AH13">
            <v>2</v>
          </cell>
          <cell r="AI13">
            <v>16</v>
          </cell>
          <cell r="AJ13">
            <v>0</v>
          </cell>
          <cell r="AK13">
            <v>3</v>
          </cell>
          <cell r="AL13">
            <v>182</v>
          </cell>
          <cell r="AM13">
            <v>0</v>
          </cell>
          <cell r="AN13">
            <v>2</v>
          </cell>
          <cell r="AO13">
            <v>0</v>
          </cell>
          <cell r="AP13">
            <v>2</v>
          </cell>
          <cell r="AQ13">
            <v>138</v>
          </cell>
          <cell r="AR13">
            <v>9</v>
          </cell>
          <cell r="AS13">
            <v>52</v>
          </cell>
          <cell r="AT13">
            <v>0</v>
          </cell>
          <cell r="AU13">
            <v>12</v>
          </cell>
          <cell r="AV13">
            <v>10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121</v>
          </cell>
          <cell r="BB13">
            <v>1</v>
          </cell>
          <cell r="BC13">
            <v>1</v>
          </cell>
          <cell r="BD13">
            <v>0</v>
          </cell>
          <cell r="BE13">
            <v>6</v>
          </cell>
          <cell r="BF13">
            <v>41</v>
          </cell>
          <cell r="BG13">
            <v>3</v>
          </cell>
          <cell r="BH13">
            <v>2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503</v>
          </cell>
          <cell r="BQ13">
            <v>0</v>
          </cell>
          <cell r="BR13">
            <v>69</v>
          </cell>
          <cell r="BS13">
            <v>0</v>
          </cell>
          <cell r="BT13">
            <v>80</v>
          </cell>
          <cell r="BU13">
            <v>3</v>
          </cell>
          <cell r="BV13">
            <v>1</v>
          </cell>
          <cell r="BW13">
            <v>1</v>
          </cell>
          <cell r="BX13">
            <v>0</v>
          </cell>
          <cell r="BY13">
            <v>0</v>
          </cell>
          <cell r="BZ13">
            <v>399</v>
          </cell>
          <cell r="CA13">
            <v>0</v>
          </cell>
          <cell r="CB13">
            <v>18</v>
          </cell>
          <cell r="CC13">
            <v>0</v>
          </cell>
          <cell r="CD13">
            <v>23</v>
          </cell>
          <cell r="CE13">
            <v>30</v>
          </cell>
          <cell r="CF13">
            <v>3</v>
          </cell>
          <cell r="CG13">
            <v>0</v>
          </cell>
          <cell r="CH13">
            <v>0</v>
          </cell>
          <cell r="CI13">
            <v>4</v>
          </cell>
          <cell r="CJ13">
            <v>7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4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4</v>
          </cell>
          <cell r="CU13">
            <v>0</v>
          </cell>
          <cell r="CV13">
            <v>0</v>
          </cell>
          <cell r="CW13">
            <v>0</v>
          </cell>
          <cell r="CX13">
            <v>1</v>
          </cell>
          <cell r="CY13">
            <v>7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9</v>
          </cell>
          <cell r="DE13">
            <v>2</v>
          </cell>
          <cell r="DF13">
            <v>0</v>
          </cell>
          <cell r="DG13">
            <v>0</v>
          </cell>
          <cell r="DH13">
            <v>0</v>
          </cell>
          <cell r="DI13">
            <v>6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22</v>
          </cell>
          <cell r="DQ13">
            <v>0</v>
          </cell>
          <cell r="DR13">
            <v>9</v>
          </cell>
          <cell r="DS13">
            <v>1756</v>
          </cell>
          <cell r="DT13">
            <v>19</v>
          </cell>
          <cell r="DU13">
            <v>382</v>
          </cell>
          <cell r="DV13">
            <v>0</v>
          </cell>
          <cell r="DW13">
            <v>156</v>
          </cell>
          <cell r="DX13">
            <v>1047</v>
          </cell>
          <cell r="DY13">
            <v>1</v>
          </cell>
          <cell r="DZ13">
            <v>427</v>
          </cell>
          <cell r="EA13">
            <v>0</v>
          </cell>
          <cell r="EB13">
            <v>45</v>
          </cell>
          <cell r="EC13">
            <v>88</v>
          </cell>
          <cell r="ED13">
            <v>1</v>
          </cell>
          <cell r="EE13">
            <v>27</v>
          </cell>
          <cell r="EF13">
            <v>0</v>
          </cell>
          <cell r="EG13">
            <v>8</v>
          </cell>
          <cell r="EH13">
            <v>41</v>
          </cell>
          <cell r="EI13">
            <v>0</v>
          </cell>
          <cell r="EJ13">
            <v>9</v>
          </cell>
          <cell r="EK13">
            <v>0</v>
          </cell>
          <cell r="EL13">
            <v>0</v>
          </cell>
          <cell r="EM13">
            <v>0</v>
          </cell>
          <cell r="EN13">
            <v>1</v>
          </cell>
          <cell r="EO13">
            <v>6</v>
          </cell>
          <cell r="EP13">
            <v>0</v>
          </cell>
          <cell r="EQ13">
            <v>4</v>
          </cell>
          <cell r="ER13">
            <v>34</v>
          </cell>
          <cell r="ES13">
            <v>1</v>
          </cell>
          <cell r="ET13">
            <v>24</v>
          </cell>
          <cell r="EU13">
            <v>0</v>
          </cell>
          <cell r="EV13">
            <v>18</v>
          </cell>
          <cell r="EW13">
            <v>5</v>
          </cell>
          <cell r="EX13">
            <v>0</v>
          </cell>
          <cell r="EY13">
            <v>1</v>
          </cell>
          <cell r="EZ13">
            <v>0</v>
          </cell>
          <cell r="FA13">
            <v>0</v>
          </cell>
          <cell r="FB13">
            <v>107</v>
          </cell>
          <cell r="FC13">
            <v>0</v>
          </cell>
          <cell r="FD13">
            <v>14</v>
          </cell>
          <cell r="FE13">
            <v>0</v>
          </cell>
          <cell r="FF13">
            <v>20</v>
          </cell>
          <cell r="FG13">
            <v>11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8</v>
          </cell>
          <cell r="FM13">
            <v>19</v>
          </cell>
          <cell r="FN13">
            <v>32</v>
          </cell>
          <cell r="FO13">
            <v>0</v>
          </cell>
          <cell r="FP13">
            <v>11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13</v>
          </cell>
          <cell r="FW13">
            <v>2</v>
          </cell>
          <cell r="FX13">
            <v>12</v>
          </cell>
          <cell r="FY13">
            <v>0</v>
          </cell>
          <cell r="FZ13">
            <v>4</v>
          </cell>
          <cell r="GA13">
            <v>8</v>
          </cell>
          <cell r="GB13">
            <v>3</v>
          </cell>
          <cell r="GC13">
            <v>5</v>
          </cell>
          <cell r="GD13">
            <v>0</v>
          </cell>
          <cell r="GE13">
            <v>0</v>
          </cell>
        </row>
        <row r="14">
          <cell r="B14">
            <v>10</v>
          </cell>
          <cell r="C14">
            <v>1321</v>
          </cell>
          <cell r="D14">
            <v>0</v>
          </cell>
          <cell r="E14">
            <v>1</v>
          </cell>
          <cell r="F14">
            <v>0</v>
          </cell>
          <cell r="G14">
            <v>3</v>
          </cell>
          <cell r="H14">
            <v>322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609</v>
          </cell>
          <cell r="N14">
            <v>1</v>
          </cell>
          <cell r="O14">
            <v>5</v>
          </cell>
          <cell r="P14">
            <v>0</v>
          </cell>
          <cell r="Q14">
            <v>2</v>
          </cell>
          <cell r="R14">
            <v>6735</v>
          </cell>
          <cell r="S14">
            <v>12</v>
          </cell>
          <cell r="T14">
            <v>153</v>
          </cell>
          <cell r="U14">
            <v>0</v>
          </cell>
          <cell r="V14">
            <v>281</v>
          </cell>
          <cell r="W14">
            <v>0</v>
          </cell>
          <cell r="X14">
            <v>14</v>
          </cell>
          <cell r="Y14">
            <v>59</v>
          </cell>
          <cell r="Z14">
            <v>0</v>
          </cell>
          <cell r="AA14">
            <v>8</v>
          </cell>
          <cell r="AB14">
            <v>215</v>
          </cell>
          <cell r="AC14">
            <v>10</v>
          </cell>
          <cell r="AD14">
            <v>6</v>
          </cell>
          <cell r="AE14">
            <v>0</v>
          </cell>
          <cell r="AF14">
            <v>16</v>
          </cell>
          <cell r="AG14">
            <v>8</v>
          </cell>
          <cell r="AH14">
            <v>3</v>
          </cell>
          <cell r="AI14">
            <v>10</v>
          </cell>
          <cell r="AJ14">
            <v>0</v>
          </cell>
          <cell r="AK14">
            <v>0</v>
          </cell>
          <cell r="AL14">
            <v>161</v>
          </cell>
          <cell r="AM14">
            <v>0</v>
          </cell>
          <cell r="AN14">
            <v>2</v>
          </cell>
          <cell r="AO14">
            <v>0</v>
          </cell>
          <cell r="AP14">
            <v>1</v>
          </cell>
          <cell r="AQ14">
            <v>113</v>
          </cell>
          <cell r="AR14">
            <v>20</v>
          </cell>
          <cell r="AS14">
            <v>21</v>
          </cell>
          <cell r="AT14">
            <v>0</v>
          </cell>
          <cell r="AU14">
            <v>13</v>
          </cell>
          <cell r="AV14">
            <v>11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83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34</v>
          </cell>
          <cell r="BG14">
            <v>0</v>
          </cell>
          <cell r="BH14">
            <v>0</v>
          </cell>
          <cell r="BI14">
            <v>0</v>
          </cell>
          <cell r="BJ14">
            <v>1</v>
          </cell>
          <cell r="BK14">
            <v>6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426</v>
          </cell>
          <cell r="BQ14">
            <v>0</v>
          </cell>
          <cell r="BR14">
            <v>72</v>
          </cell>
          <cell r="BS14">
            <v>0</v>
          </cell>
          <cell r="BT14">
            <v>68</v>
          </cell>
          <cell r="BU14">
            <v>3</v>
          </cell>
          <cell r="BV14">
            <v>1</v>
          </cell>
          <cell r="BW14">
            <v>1</v>
          </cell>
          <cell r="BX14">
            <v>0</v>
          </cell>
          <cell r="BY14">
            <v>0</v>
          </cell>
          <cell r="BZ14">
            <v>316</v>
          </cell>
          <cell r="CA14">
            <v>0</v>
          </cell>
          <cell r="CB14">
            <v>30</v>
          </cell>
          <cell r="CC14">
            <v>0</v>
          </cell>
          <cell r="CD14">
            <v>18</v>
          </cell>
          <cell r="CE14">
            <v>2</v>
          </cell>
          <cell r="CF14">
            <v>2</v>
          </cell>
          <cell r="CG14">
            <v>2</v>
          </cell>
          <cell r="CH14">
            <v>0</v>
          </cell>
          <cell r="CI14">
            <v>0</v>
          </cell>
          <cell r="CJ14">
            <v>4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3</v>
          </cell>
          <cell r="CP14">
            <v>0</v>
          </cell>
          <cell r="CQ14">
            <v>1</v>
          </cell>
          <cell r="CR14">
            <v>0</v>
          </cell>
          <cell r="CS14">
            <v>0</v>
          </cell>
          <cell r="CT14">
            <v>1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5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5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10</v>
          </cell>
          <cell r="DQ14">
            <v>0</v>
          </cell>
          <cell r="DR14">
            <v>0</v>
          </cell>
          <cell r="DS14">
            <v>1688</v>
          </cell>
          <cell r="DT14">
            <v>40</v>
          </cell>
          <cell r="DU14">
            <v>364</v>
          </cell>
          <cell r="DV14">
            <v>0</v>
          </cell>
          <cell r="DW14">
            <v>69</v>
          </cell>
          <cell r="DX14">
            <v>853</v>
          </cell>
          <cell r="DY14">
            <v>0</v>
          </cell>
          <cell r="DZ14">
            <v>172</v>
          </cell>
          <cell r="EA14">
            <v>0</v>
          </cell>
          <cell r="EB14">
            <v>39</v>
          </cell>
          <cell r="EC14">
            <v>80</v>
          </cell>
          <cell r="ED14">
            <v>4</v>
          </cell>
          <cell r="EE14">
            <v>10</v>
          </cell>
          <cell r="EF14">
            <v>0</v>
          </cell>
          <cell r="EG14">
            <v>20</v>
          </cell>
          <cell r="EH14">
            <v>79</v>
          </cell>
          <cell r="EI14">
            <v>0</v>
          </cell>
          <cell r="EJ14">
            <v>8</v>
          </cell>
          <cell r="EK14">
            <v>0</v>
          </cell>
          <cell r="EL14">
            <v>1</v>
          </cell>
          <cell r="EM14">
            <v>0</v>
          </cell>
          <cell r="EN14">
            <v>3</v>
          </cell>
          <cell r="EO14">
            <v>1</v>
          </cell>
          <cell r="EP14">
            <v>0</v>
          </cell>
          <cell r="EQ14">
            <v>0</v>
          </cell>
          <cell r="ER14">
            <v>17</v>
          </cell>
          <cell r="ES14">
            <v>4</v>
          </cell>
          <cell r="ET14">
            <v>1</v>
          </cell>
          <cell r="EU14">
            <v>0</v>
          </cell>
          <cell r="EV14">
            <v>2</v>
          </cell>
          <cell r="EW14">
            <v>1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77</v>
          </cell>
          <cell r="FC14">
            <v>2</v>
          </cell>
          <cell r="FD14">
            <v>39</v>
          </cell>
          <cell r="FE14">
            <v>0</v>
          </cell>
          <cell r="FF14">
            <v>17</v>
          </cell>
          <cell r="FG14">
            <v>9</v>
          </cell>
          <cell r="FH14">
            <v>0</v>
          </cell>
          <cell r="FI14">
            <v>0</v>
          </cell>
          <cell r="FJ14">
            <v>0</v>
          </cell>
          <cell r="FK14">
            <v>1</v>
          </cell>
          <cell r="FL14">
            <v>10</v>
          </cell>
          <cell r="FM14">
            <v>14</v>
          </cell>
          <cell r="FN14">
            <v>10</v>
          </cell>
          <cell r="FO14">
            <v>0</v>
          </cell>
          <cell r="FP14">
            <v>7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12</v>
          </cell>
          <cell r="FW14">
            <v>3</v>
          </cell>
          <cell r="FX14">
            <v>22</v>
          </cell>
          <cell r="FY14">
            <v>0</v>
          </cell>
          <cell r="FZ14">
            <v>2</v>
          </cell>
          <cell r="GA14">
            <v>9</v>
          </cell>
          <cell r="GB14">
            <v>2</v>
          </cell>
          <cell r="GC14">
            <v>2</v>
          </cell>
          <cell r="GD14">
            <v>0</v>
          </cell>
          <cell r="GE14">
            <v>0</v>
          </cell>
        </row>
        <row r="15">
          <cell r="B15">
            <v>11</v>
          </cell>
          <cell r="C15">
            <v>1509</v>
          </cell>
          <cell r="D15">
            <v>0</v>
          </cell>
          <cell r="E15">
            <v>2</v>
          </cell>
          <cell r="F15">
            <v>0</v>
          </cell>
          <cell r="G15">
            <v>9</v>
          </cell>
          <cell r="H15">
            <v>430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693</v>
          </cell>
          <cell r="N15">
            <v>4</v>
          </cell>
          <cell r="O15">
            <v>8</v>
          </cell>
          <cell r="P15">
            <v>0</v>
          </cell>
          <cell r="Q15">
            <v>8</v>
          </cell>
          <cell r="R15">
            <v>7407</v>
          </cell>
          <cell r="S15">
            <v>15</v>
          </cell>
          <cell r="T15">
            <v>371</v>
          </cell>
          <cell r="U15">
            <v>0</v>
          </cell>
          <cell r="V15">
            <v>312</v>
          </cell>
          <cell r="W15">
            <v>0</v>
          </cell>
          <cell r="X15">
            <v>4</v>
          </cell>
          <cell r="Y15">
            <v>96</v>
          </cell>
          <cell r="Z15">
            <v>3</v>
          </cell>
          <cell r="AA15">
            <v>16</v>
          </cell>
          <cell r="AB15">
            <v>241</v>
          </cell>
          <cell r="AC15">
            <v>5</v>
          </cell>
          <cell r="AD15">
            <v>19</v>
          </cell>
          <cell r="AE15">
            <v>0</v>
          </cell>
          <cell r="AF15">
            <v>22</v>
          </cell>
          <cell r="AG15">
            <v>27</v>
          </cell>
          <cell r="AH15">
            <v>7</v>
          </cell>
          <cell r="AI15">
            <v>18</v>
          </cell>
          <cell r="AJ15">
            <v>0</v>
          </cell>
          <cell r="AK15">
            <v>5</v>
          </cell>
          <cell r="AL15">
            <v>168</v>
          </cell>
          <cell r="AM15">
            <v>0</v>
          </cell>
          <cell r="AN15">
            <v>3</v>
          </cell>
          <cell r="AO15">
            <v>0</v>
          </cell>
          <cell r="AP15">
            <v>4</v>
          </cell>
          <cell r="AQ15">
            <v>104</v>
          </cell>
          <cell r="AR15">
            <v>7</v>
          </cell>
          <cell r="AS15">
            <v>63</v>
          </cell>
          <cell r="AT15">
            <v>0</v>
          </cell>
          <cell r="AU15">
            <v>11</v>
          </cell>
          <cell r="AV15">
            <v>20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71</v>
          </cell>
          <cell r="BB15">
            <v>1</v>
          </cell>
          <cell r="BC15">
            <v>0</v>
          </cell>
          <cell r="BD15">
            <v>0</v>
          </cell>
          <cell r="BE15">
            <v>0</v>
          </cell>
          <cell r="BF15">
            <v>58</v>
          </cell>
          <cell r="BG15">
            <v>0</v>
          </cell>
          <cell r="BH15">
            <v>1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403</v>
          </cell>
          <cell r="BQ15">
            <v>0</v>
          </cell>
          <cell r="BR15">
            <v>21</v>
          </cell>
          <cell r="BS15">
            <v>0</v>
          </cell>
          <cell r="BT15">
            <v>74</v>
          </cell>
          <cell r="BU15">
            <v>2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396</v>
          </cell>
          <cell r="CA15">
            <v>2</v>
          </cell>
          <cell r="CB15">
            <v>29</v>
          </cell>
          <cell r="CC15">
            <v>0</v>
          </cell>
          <cell r="CD15">
            <v>31</v>
          </cell>
          <cell r="CE15">
            <v>7</v>
          </cell>
          <cell r="CF15">
            <v>5</v>
          </cell>
          <cell r="CG15">
            <v>5</v>
          </cell>
          <cell r="CH15">
            <v>0</v>
          </cell>
          <cell r="CI15">
            <v>10</v>
          </cell>
          <cell r="CJ15">
            <v>4</v>
          </cell>
          <cell r="CK15">
            <v>1</v>
          </cell>
          <cell r="CL15">
            <v>1</v>
          </cell>
          <cell r="CM15">
            <v>0</v>
          </cell>
          <cell r="CN15">
            <v>1</v>
          </cell>
          <cell r="CO15">
            <v>1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2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8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10</v>
          </cell>
          <cell r="DE15">
            <v>4</v>
          </cell>
          <cell r="DF15">
            <v>2</v>
          </cell>
          <cell r="DG15">
            <v>0</v>
          </cell>
          <cell r="DH15">
            <v>0</v>
          </cell>
          <cell r="DI15">
            <v>3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12</v>
          </cell>
          <cell r="DQ15">
            <v>0</v>
          </cell>
          <cell r="DR15">
            <v>0</v>
          </cell>
          <cell r="DS15">
            <v>1485</v>
          </cell>
          <cell r="DT15">
            <v>43</v>
          </cell>
          <cell r="DU15">
            <v>301</v>
          </cell>
          <cell r="DV15">
            <v>0</v>
          </cell>
          <cell r="DW15">
            <v>88</v>
          </cell>
          <cell r="DX15">
            <v>920</v>
          </cell>
          <cell r="DY15">
            <v>2</v>
          </cell>
          <cell r="DZ15">
            <v>99</v>
          </cell>
          <cell r="EA15">
            <v>0</v>
          </cell>
          <cell r="EB15">
            <v>36</v>
          </cell>
          <cell r="EC15">
            <v>83</v>
          </cell>
          <cell r="ED15">
            <v>4</v>
          </cell>
          <cell r="EE15">
            <v>39</v>
          </cell>
          <cell r="EF15">
            <v>0</v>
          </cell>
          <cell r="EG15">
            <v>22</v>
          </cell>
          <cell r="EH15">
            <v>31</v>
          </cell>
          <cell r="EI15">
            <v>0</v>
          </cell>
          <cell r="EJ15">
            <v>11</v>
          </cell>
          <cell r="EK15">
            <v>0</v>
          </cell>
          <cell r="EL15">
            <v>5</v>
          </cell>
          <cell r="EM15">
            <v>2</v>
          </cell>
          <cell r="EN15">
            <v>2</v>
          </cell>
          <cell r="EO15">
            <v>2</v>
          </cell>
          <cell r="EP15">
            <v>0</v>
          </cell>
          <cell r="EQ15">
            <v>2</v>
          </cell>
          <cell r="ER15">
            <v>29</v>
          </cell>
          <cell r="ES15">
            <v>1</v>
          </cell>
          <cell r="ET15">
            <v>5</v>
          </cell>
          <cell r="EU15">
            <v>0</v>
          </cell>
          <cell r="EV15">
            <v>4</v>
          </cell>
          <cell r="EW15">
            <v>4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118</v>
          </cell>
          <cell r="FC15">
            <v>0</v>
          </cell>
          <cell r="FD15">
            <v>8</v>
          </cell>
          <cell r="FE15">
            <v>0</v>
          </cell>
          <cell r="FF15">
            <v>6</v>
          </cell>
          <cell r="FG15">
            <v>10</v>
          </cell>
          <cell r="FH15">
            <v>0</v>
          </cell>
          <cell r="FI15">
            <v>0</v>
          </cell>
          <cell r="FJ15">
            <v>0</v>
          </cell>
          <cell r="FK15">
            <v>4</v>
          </cell>
          <cell r="FL15">
            <v>15</v>
          </cell>
          <cell r="FM15">
            <v>10</v>
          </cell>
          <cell r="FN15">
            <v>12</v>
          </cell>
          <cell r="FO15">
            <v>0</v>
          </cell>
          <cell r="FP15">
            <v>6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14</v>
          </cell>
          <cell r="FW15">
            <v>0</v>
          </cell>
          <cell r="FX15">
            <v>10</v>
          </cell>
          <cell r="FY15">
            <v>0</v>
          </cell>
          <cell r="FZ15">
            <v>2</v>
          </cell>
          <cell r="GA15">
            <v>18</v>
          </cell>
          <cell r="GB15">
            <v>5</v>
          </cell>
          <cell r="GC15">
            <v>5</v>
          </cell>
          <cell r="GD15">
            <v>0</v>
          </cell>
          <cell r="GE15">
            <v>1</v>
          </cell>
        </row>
        <row r="16">
          <cell r="B16">
            <v>12</v>
          </cell>
          <cell r="C16">
            <v>1727</v>
          </cell>
          <cell r="D16">
            <v>0</v>
          </cell>
          <cell r="E16">
            <v>0</v>
          </cell>
          <cell r="F16">
            <v>0</v>
          </cell>
          <cell r="G16">
            <v>12</v>
          </cell>
          <cell r="H16">
            <v>495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748</v>
          </cell>
          <cell r="N16">
            <v>2</v>
          </cell>
          <cell r="O16">
            <v>6</v>
          </cell>
          <cell r="P16">
            <v>0</v>
          </cell>
          <cell r="Q16">
            <v>11</v>
          </cell>
          <cell r="R16">
            <v>9971</v>
          </cell>
          <cell r="S16">
            <v>34</v>
          </cell>
          <cell r="T16">
            <v>172</v>
          </cell>
          <cell r="U16">
            <v>0</v>
          </cell>
          <cell r="V16">
            <v>243</v>
          </cell>
          <cell r="W16">
            <v>0</v>
          </cell>
          <cell r="X16">
            <v>2</v>
          </cell>
          <cell r="Y16">
            <v>304</v>
          </cell>
          <cell r="Z16">
            <v>0</v>
          </cell>
          <cell r="AA16">
            <v>45</v>
          </cell>
          <cell r="AB16">
            <v>261</v>
          </cell>
          <cell r="AC16">
            <v>6</v>
          </cell>
          <cell r="AD16">
            <v>33</v>
          </cell>
          <cell r="AE16">
            <v>0</v>
          </cell>
          <cell r="AF16">
            <v>25</v>
          </cell>
          <cell r="AG16">
            <v>38</v>
          </cell>
          <cell r="AH16">
            <v>9</v>
          </cell>
          <cell r="AI16">
            <v>6</v>
          </cell>
          <cell r="AJ16">
            <v>0</v>
          </cell>
          <cell r="AK16">
            <v>4</v>
          </cell>
          <cell r="AL16">
            <v>186</v>
          </cell>
          <cell r="AM16">
            <v>0</v>
          </cell>
          <cell r="AN16">
            <v>3</v>
          </cell>
          <cell r="AO16">
            <v>0</v>
          </cell>
          <cell r="AP16">
            <v>5</v>
          </cell>
          <cell r="AQ16">
            <v>107</v>
          </cell>
          <cell r="AR16">
            <v>20</v>
          </cell>
          <cell r="AS16">
            <v>56</v>
          </cell>
          <cell r="AT16">
            <v>0</v>
          </cell>
          <cell r="AU16">
            <v>35</v>
          </cell>
          <cell r="AV16">
            <v>18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76</v>
          </cell>
          <cell r="BB16">
            <v>5</v>
          </cell>
          <cell r="BC16">
            <v>0</v>
          </cell>
          <cell r="BD16">
            <v>0</v>
          </cell>
          <cell r="BE16">
            <v>1</v>
          </cell>
          <cell r="BF16">
            <v>44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1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426</v>
          </cell>
          <cell r="BQ16">
            <v>3</v>
          </cell>
          <cell r="BR16">
            <v>56</v>
          </cell>
          <cell r="BS16">
            <v>0</v>
          </cell>
          <cell r="BT16">
            <v>161</v>
          </cell>
          <cell r="BU16">
            <v>3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437</v>
          </cell>
          <cell r="CA16">
            <v>4</v>
          </cell>
          <cell r="CB16">
            <v>43</v>
          </cell>
          <cell r="CC16">
            <v>0</v>
          </cell>
          <cell r="CD16">
            <v>51</v>
          </cell>
          <cell r="CE16">
            <v>9</v>
          </cell>
          <cell r="CF16">
            <v>64</v>
          </cell>
          <cell r="CG16">
            <v>3</v>
          </cell>
          <cell r="CH16">
            <v>0</v>
          </cell>
          <cell r="CI16">
            <v>1</v>
          </cell>
          <cell r="CJ16">
            <v>4</v>
          </cell>
          <cell r="CK16">
            <v>1</v>
          </cell>
          <cell r="CL16">
            <v>0</v>
          </cell>
          <cell r="CM16">
            <v>0</v>
          </cell>
          <cell r="CN16">
            <v>0</v>
          </cell>
          <cell r="CO16">
            <v>6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1</v>
          </cell>
          <cell r="CV16">
            <v>1</v>
          </cell>
          <cell r="CW16">
            <v>0</v>
          </cell>
          <cell r="CX16">
            <v>1</v>
          </cell>
          <cell r="CY16">
            <v>11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8</v>
          </cell>
          <cell r="DE16">
            <v>3</v>
          </cell>
          <cell r="DF16">
            <v>1</v>
          </cell>
          <cell r="DG16">
            <v>0</v>
          </cell>
          <cell r="DH16">
            <v>3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26</v>
          </cell>
          <cell r="DQ16">
            <v>0</v>
          </cell>
          <cell r="DR16">
            <v>3</v>
          </cell>
          <cell r="DS16">
            <v>2255</v>
          </cell>
          <cell r="DT16">
            <v>45</v>
          </cell>
          <cell r="DU16">
            <v>131</v>
          </cell>
          <cell r="DV16">
            <v>0</v>
          </cell>
          <cell r="DW16">
            <v>135</v>
          </cell>
          <cell r="DX16">
            <v>1530</v>
          </cell>
          <cell r="DY16">
            <v>3</v>
          </cell>
          <cell r="DZ16">
            <v>138</v>
          </cell>
          <cell r="EA16">
            <v>0</v>
          </cell>
          <cell r="EB16">
            <v>86</v>
          </cell>
          <cell r="EC16">
            <v>84</v>
          </cell>
          <cell r="ED16">
            <v>4</v>
          </cell>
          <cell r="EE16">
            <v>28</v>
          </cell>
          <cell r="EF16">
            <v>0</v>
          </cell>
          <cell r="EG16">
            <v>42</v>
          </cell>
          <cell r="EH16">
            <v>55</v>
          </cell>
          <cell r="EI16">
            <v>0</v>
          </cell>
          <cell r="EJ16">
            <v>19</v>
          </cell>
          <cell r="EK16">
            <v>0</v>
          </cell>
          <cell r="EL16">
            <v>13</v>
          </cell>
          <cell r="EM16">
            <v>7</v>
          </cell>
          <cell r="EN16">
            <v>4</v>
          </cell>
          <cell r="EO16">
            <v>6</v>
          </cell>
          <cell r="EP16">
            <v>0</v>
          </cell>
          <cell r="EQ16">
            <v>0</v>
          </cell>
          <cell r="ER16">
            <v>28</v>
          </cell>
          <cell r="ES16">
            <v>2</v>
          </cell>
          <cell r="ET16">
            <v>12</v>
          </cell>
          <cell r="EU16">
            <v>0</v>
          </cell>
          <cell r="EV16">
            <v>15</v>
          </cell>
          <cell r="EW16">
            <v>5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106</v>
          </cell>
          <cell r="FC16">
            <v>3</v>
          </cell>
          <cell r="FD16">
            <v>21</v>
          </cell>
          <cell r="FE16">
            <v>0</v>
          </cell>
          <cell r="FF16">
            <v>21</v>
          </cell>
          <cell r="FG16">
            <v>9</v>
          </cell>
          <cell r="FH16">
            <v>1</v>
          </cell>
          <cell r="FI16">
            <v>0</v>
          </cell>
          <cell r="FJ16">
            <v>0</v>
          </cell>
          <cell r="FK16">
            <v>1</v>
          </cell>
          <cell r="FL16">
            <v>17</v>
          </cell>
          <cell r="FM16">
            <v>19</v>
          </cell>
          <cell r="FN16">
            <v>17</v>
          </cell>
          <cell r="FO16">
            <v>0</v>
          </cell>
          <cell r="FP16">
            <v>13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14</v>
          </cell>
          <cell r="FW16">
            <v>0</v>
          </cell>
          <cell r="FX16">
            <v>13</v>
          </cell>
          <cell r="FY16">
            <v>0</v>
          </cell>
          <cell r="FZ16">
            <v>7</v>
          </cell>
          <cell r="GA16">
            <v>19</v>
          </cell>
          <cell r="GB16">
            <v>4</v>
          </cell>
          <cell r="GC16">
            <v>7</v>
          </cell>
          <cell r="GD16">
            <v>0</v>
          </cell>
          <cell r="GE16">
            <v>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"/>
  <sheetViews>
    <sheetView topLeftCell="A55" workbookViewId="0">
      <selection activeCell="L14" sqref="L14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43"/>
  <sheetViews>
    <sheetView workbookViewId="0">
      <selection activeCell="Y17" sqref="Y17"/>
    </sheetView>
  </sheetViews>
  <sheetFormatPr defaultRowHeight="14.25" x14ac:dyDescent="0.2"/>
  <cols>
    <col min="3" max="3" width="20.25" customWidth="1"/>
    <col min="4" max="4" width="0" hidden="1" customWidth="1"/>
    <col min="5" max="24" width="9" hidden="1" customWidth="1"/>
    <col min="30" max="33" width="0" hidden="1" customWidth="1"/>
    <col min="42" max="44" width="0" hidden="1" customWidth="1"/>
  </cols>
  <sheetData>
    <row r="1" spans="1:44" ht="23.25" x14ac:dyDescent="0.2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ht="21" x14ac:dyDescent="0.2">
      <c r="A2" s="1"/>
      <c r="B2" s="114" t="s">
        <v>1</v>
      </c>
      <c r="C2" s="116" t="s">
        <v>2</v>
      </c>
      <c r="D2" s="118" t="s">
        <v>3</v>
      </c>
      <c r="E2" s="120" t="s">
        <v>4</v>
      </c>
      <c r="F2" s="121"/>
      <c r="G2" s="121"/>
      <c r="H2" s="121"/>
      <c r="I2" s="121"/>
      <c r="J2" s="122"/>
      <c r="K2" s="123" t="s">
        <v>5</v>
      </c>
      <c r="L2" s="120" t="s">
        <v>6</v>
      </c>
      <c r="M2" s="121"/>
      <c r="N2" s="121"/>
      <c r="O2" s="121"/>
      <c r="P2" s="121"/>
      <c r="Q2" s="122"/>
      <c r="R2" s="104" t="s">
        <v>7</v>
      </c>
      <c r="S2" s="104" t="s">
        <v>8</v>
      </c>
      <c r="T2" s="106" t="s">
        <v>9</v>
      </c>
      <c r="U2" s="107"/>
      <c r="V2" s="107"/>
      <c r="W2" s="107"/>
      <c r="X2" s="108"/>
      <c r="Y2" s="109" t="s">
        <v>10</v>
      </c>
      <c r="Z2" s="110"/>
      <c r="AA2" s="110"/>
      <c r="AB2" s="111"/>
      <c r="AC2" s="6"/>
      <c r="AD2" s="103" t="s">
        <v>11</v>
      </c>
      <c r="AE2" s="112" t="s">
        <v>12</v>
      </c>
      <c r="AF2" s="103" t="s">
        <v>13</v>
      </c>
      <c r="AG2" s="103" t="s">
        <v>14</v>
      </c>
      <c r="AH2" s="98" t="s">
        <v>15</v>
      </c>
      <c r="AI2" s="98"/>
      <c r="AJ2" s="98"/>
      <c r="AK2" s="98" t="s">
        <v>16</v>
      </c>
      <c r="AL2" s="98"/>
      <c r="AM2" s="98"/>
      <c r="AN2" s="98"/>
      <c r="AO2" s="98"/>
      <c r="AP2" s="98" t="s">
        <v>17</v>
      </c>
      <c r="AQ2" s="98" t="s">
        <v>18</v>
      </c>
      <c r="AR2" s="98" t="s">
        <v>19</v>
      </c>
    </row>
    <row r="3" spans="1:44" ht="37.5" x14ac:dyDescent="0.2">
      <c r="A3" s="7"/>
      <c r="B3" s="115"/>
      <c r="C3" s="117"/>
      <c r="D3" s="119"/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  <c r="K3" s="124"/>
      <c r="L3" s="8" t="s">
        <v>20</v>
      </c>
      <c r="M3" s="8" t="s">
        <v>21</v>
      </c>
      <c r="N3" s="8" t="s">
        <v>22</v>
      </c>
      <c r="O3" s="8" t="s">
        <v>23</v>
      </c>
      <c r="P3" s="8" t="s">
        <v>24</v>
      </c>
      <c r="Q3" s="10" t="s">
        <v>25</v>
      </c>
      <c r="R3" s="105"/>
      <c r="S3" s="105"/>
      <c r="T3" s="11" t="s">
        <v>26</v>
      </c>
      <c r="U3" s="11" t="s">
        <v>27</v>
      </c>
      <c r="V3" s="11" t="s">
        <v>28</v>
      </c>
      <c r="W3" s="11" t="s">
        <v>29</v>
      </c>
      <c r="X3" s="11">
        <v>64</v>
      </c>
      <c r="Y3" s="12" t="s">
        <v>26</v>
      </c>
      <c r="Z3" s="12" t="s">
        <v>27</v>
      </c>
      <c r="AA3" s="12" t="s">
        <v>28</v>
      </c>
      <c r="AB3" s="12" t="s">
        <v>29</v>
      </c>
      <c r="AC3" s="12">
        <v>64</v>
      </c>
      <c r="AD3" s="103"/>
      <c r="AE3" s="113"/>
      <c r="AF3" s="103"/>
      <c r="AG3" s="103"/>
      <c r="AH3" s="13" t="s">
        <v>30</v>
      </c>
      <c r="AI3" s="13" t="s">
        <v>31</v>
      </c>
      <c r="AJ3" s="13" t="s">
        <v>25</v>
      </c>
      <c r="AK3" s="13" t="s">
        <v>32</v>
      </c>
      <c r="AL3" s="13" t="s">
        <v>33</v>
      </c>
      <c r="AM3" s="13" t="s">
        <v>34</v>
      </c>
      <c r="AN3" s="13" t="s">
        <v>35</v>
      </c>
      <c r="AO3" s="13" t="s">
        <v>36</v>
      </c>
      <c r="AP3" s="98"/>
      <c r="AQ3" s="98"/>
      <c r="AR3" s="98"/>
    </row>
    <row r="4" spans="1:44" ht="18.75" x14ac:dyDescent="0.2">
      <c r="A4" s="14" t="s">
        <v>114</v>
      </c>
      <c r="B4" s="15">
        <v>1</v>
      </c>
      <c r="C4" s="15" t="s">
        <v>37</v>
      </c>
      <c r="D4" s="16" t="e">
        <f>VLOOKUP(A5,'[1]กรอบ '!$A$5:$Z$16,2,0)</f>
        <v>#N/A</v>
      </c>
      <c r="E4" s="17" t="e">
        <f>VLOOKUP(A5,[1]ตำแหน่ง!B5:GE16,2,0)</f>
        <v>#N/A</v>
      </c>
      <c r="F4" s="17" t="e">
        <f>VLOOKUP(A5,[1]ตำแหน่ง!B5:GE16,3,0)</f>
        <v>#N/A</v>
      </c>
      <c r="G4" s="17" t="e">
        <f>VLOOKUP(A5,[1]ตำแหน่ง!B5:GE16,4,0)</f>
        <v>#N/A</v>
      </c>
      <c r="H4" s="17" t="e">
        <f>VLOOKUP(A5,[1]ตำแหน่ง!B5:GE16,5,0)</f>
        <v>#N/A</v>
      </c>
      <c r="I4" s="17" t="e">
        <f>VLOOKUP(A5,[1]ตำแหน่ง!B5:GE16,6,0)</f>
        <v>#N/A</v>
      </c>
      <c r="J4" s="18" t="e">
        <f>SUM(E4:I4)</f>
        <v>#N/A</v>
      </c>
      <c r="K4" s="19" t="e">
        <f>D4-E4</f>
        <v>#N/A</v>
      </c>
      <c r="L4" s="17" t="e">
        <f>VLOOKUP(A5,[1]คนจริง!B5:GE16,2,0)</f>
        <v>#N/A</v>
      </c>
      <c r="M4" s="17" t="e">
        <f>VLOOKUP(A5,[1]คนจริง!B5:GE16,3,0)</f>
        <v>#N/A</v>
      </c>
      <c r="N4" s="17" t="e">
        <f>VLOOKUP(A5,[1]คนจริง!B5:GE16,4,0)</f>
        <v>#N/A</v>
      </c>
      <c r="O4" s="17" t="e">
        <f>VLOOKUP(A5,[1]คนจริง!B5:GE16,5,0)</f>
        <v>#N/A</v>
      </c>
      <c r="P4" s="17" t="e">
        <f>VLOOKUP(A5,[1]คนจริง!B5:GE16,6,0)</f>
        <v>#N/A</v>
      </c>
      <c r="Q4" s="18" t="e">
        <f>SUM(L4:P4)</f>
        <v>#N/A</v>
      </c>
      <c r="R4" s="20" t="e">
        <f>D4-Q4</f>
        <v>#N/A</v>
      </c>
      <c r="S4" s="20" t="e">
        <f>E4-L4</f>
        <v>#N/A</v>
      </c>
      <c r="T4" s="21" t="e">
        <f>VLOOKUP(A5,[1]เกษียณ!B4:EV15,2,0)</f>
        <v>#N/A</v>
      </c>
      <c r="U4" s="21" t="e">
        <f>VLOOKUP(A5,[1]เกษียณ!B4:EV15,3,0)</f>
        <v>#N/A</v>
      </c>
      <c r="V4" s="21" t="e">
        <f>VLOOKUP(A5,[1]เกษียณ!B4:EV15,4,0)</f>
        <v>#N/A</v>
      </c>
      <c r="W4" s="21" t="e">
        <f>VLOOKUP(A5,[1]เกษียณ!B4:EV15,5,0)</f>
        <v>#N/A</v>
      </c>
      <c r="X4" s="21" t="e">
        <f>VLOOKUP(A5,[1]เกษียณ!B4:EV15,6,0)</f>
        <v>#N/A</v>
      </c>
      <c r="Y4" s="22"/>
      <c r="Z4" s="22"/>
      <c r="AA4" s="22"/>
      <c r="AB4" s="22"/>
      <c r="AC4" s="22"/>
      <c r="AD4" s="19" t="e">
        <f t="shared" ref="AD4:AD42" si="0">T4+U4+V4+W4+X4</f>
        <v>#N/A</v>
      </c>
      <c r="AE4" s="23">
        <f>(AC4+AB4+AA4+Z4+Y4)/5</f>
        <v>0</v>
      </c>
      <c r="AF4" s="23" t="e">
        <f>K4+AD4</f>
        <v>#N/A</v>
      </c>
      <c r="AG4" s="23" t="e">
        <f>(AF4/5)+AE4</f>
        <v>#N/A</v>
      </c>
      <c r="AH4" s="24"/>
      <c r="AI4" s="24"/>
      <c r="AJ4" s="25">
        <f>AH4+AI4</f>
        <v>0</v>
      </c>
      <c r="AK4" s="24"/>
      <c r="AL4" s="24"/>
      <c r="AM4" s="25">
        <f>AK4+AL4</f>
        <v>0</v>
      </c>
      <c r="AN4" s="25">
        <f>(AK4/5)+(AI4*0.7/5)</f>
        <v>0</v>
      </c>
      <c r="AO4" s="25">
        <f>AL4/5</f>
        <v>0</v>
      </c>
      <c r="AP4" s="26" t="e">
        <f>J4-AD4-(AE4*5)+AM4</f>
        <v>#N/A</v>
      </c>
      <c r="AQ4" s="27" t="e">
        <f t="shared" ref="AQ4:AQ9" si="1">D4-AP4</f>
        <v>#N/A</v>
      </c>
      <c r="AR4" s="28" t="e">
        <f t="shared" ref="AR4:AR9" si="2">AP4/D4*100</f>
        <v>#N/A</v>
      </c>
    </row>
    <row r="5" spans="1:44" ht="18.75" x14ac:dyDescent="0.2">
      <c r="A5" s="29"/>
      <c r="B5" s="15">
        <v>2</v>
      </c>
      <c r="C5" s="30" t="s">
        <v>38</v>
      </c>
      <c r="D5" s="16" t="e">
        <f>VLOOKUP(A5,'[1]กรอบ '!$A$5:$Z$16,3,0)</f>
        <v>#N/A</v>
      </c>
      <c r="E5" s="17" t="e">
        <f>VLOOKUP(A5,[1]ตำแหน่ง!B5:GE16,7,0)</f>
        <v>#N/A</v>
      </c>
      <c r="F5" s="17" t="e">
        <f>VLOOKUP(A5,[1]ตำแหน่ง!B5:GE16,8,0)</f>
        <v>#N/A</v>
      </c>
      <c r="G5" s="17" t="e">
        <f>VLOOKUP(A5,[1]ตำแหน่ง!B5:GE16,9,0)</f>
        <v>#N/A</v>
      </c>
      <c r="H5" s="17" t="e">
        <f>VLOOKUP(A5,[1]ตำแหน่ง!B5:GE16,10,0)</f>
        <v>#N/A</v>
      </c>
      <c r="I5" s="17" t="e">
        <f>VLOOKUP(A5,[1]ตำแหน่ง!B5:GE16,11,0)</f>
        <v>#N/A</v>
      </c>
      <c r="J5" s="18" t="e">
        <f t="shared" ref="J5:J42" si="3">SUM(E5:I5)</f>
        <v>#N/A</v>
      </c>
      <c r="K5" s="19" t="e">
        <f t="shared" ref="K5:K8" si="4">D5-E5</f>
        <v>#N/A</v>
      </c>
      <c r="L5" s="17" t="e">
        <f>VLOOKUP(A5,[1]คนจริง!B5:GE16,7,0)</f>
        <v>#N/A</v>
      </c>
      <c r="M5" s="17" t="e">
        <f>VLOOKUP(A5,[1]คนจริง!B5:GE16,8,0)</f>
        <v>#N/A</v>
      </c>
      <c r="N5" s="17" t="e">
        <f>VLOOKUP(A5,[1]คนจริง!B5:GE16,9,0)</f>
        <v>#N/A</v>
      </c>
      <c r="O5" s="17" t="e">
        <f>VLOOKUP(A5,[1]คนจริง!B5:GE16,10,0)</f>
        <v>#N/A</v>
      </c>
      <c r="P5" s="17" t="e">
        <f>VLOOKUP(A5,[1]คนจริง!B5:GE16,11,0)</f>
        <v>#N/A</v>
      </c>
      <c r="Q5" s="18" t="e">
        <f t="shared" ref="Q5:Q42" si="5">SUM(L5:P5)</f>
        <v>#N/A</v>
      </c>
      <c r="R5" s="20" t="e">
        <f>D5-Q5</f>
        <v>#N/A</v>
      </c>
      <c r="S5" s="20" t="e">
        <f t="shared" ref="S5:S42" si="6">E5-L5</f>
        <v>#N/A</v>
      </c>
      <c r="T5" s="21" t="e">
        <f>VLOOKUP(A5,[1]เกษียณ!B4:EV15,7,0)</f>
        <v>#N/A</v>
      </c>
      <c r="U5" s="21" t="e">
        <f>VLOOKUP(A5,[1]เกษียณ!B4:EV15,8,0)</f>
        <v>#N/A</v>
      </c>
      <c r="V5" s="21" t="e">
        <f>VLOOKUP(A5,[1]เกษียณ!B4:EV15,9,0)</f>
        <v>#N/A</v>
      </c>
      <c r="W5" s="21" t="e">
        <f>VLOOKUP(A5,[1]เกษียณ!B4:EV15,10,0)</f>
        <v>#N/A</v>
      </c>
      <c r="X5" s="21" t="e">
        <f>VLOOKUP(A5,[1]เกษียณ!B4:EV15,11,0)</f>
        <v>#N/A</v>
      </c>
      <c r="Y5" s="22"/>
      <c r="Z5" s="22"/>
      <c r="AA5" s="22"/>
      <c r="AB5" s="22"/>
      <c r="AC5" s="22"/>
      <c r="AD5" s="19" t="e">
        <f t="shared" si="0"/>
        <v>#N/A</v>
      </c>
      <c r="AE5" s="23">
        <f>(AC5+AB5+AA5+Z5+Y5)/5</f>
        <v>0</v>
      </c>
      <c r="AF5" s="23" t="e">
        <f>K5+AD5</f>
        <v>#N/A</v>
      </c>
      <c r="AG5" s="23" t="e">
        <f>(AF5/5)+AE5</f>
        <v>#N/A</v>
      </c>
      <c r="AH5" s="31"/>
      <c r="AI5" s="24"/>
      <c r="AJ5" s="25">
        <f>AH5+AI5</f>
        <v>0</v>
      </c>
      <c r="AK5" s="24"/>
      <c r="AL5" s="24"/>
      <c r="AM5" s="25">
        <f t="shared" ref="AM5:AM42" si="7">AK5+AL5</f>
        <v>0</v>
      </c>
      <c r="AN5" s="25">
        <f t="shared" ref="AN5:AN11" si="8">AM5/5</f>
        <v>0</v>
      </c>
      <c r="AO5" s="25">
        <f>AL5/5</f>
        <v>0</v>
      </c>
      <c r="AP5" s="26" t="e">
        <f>J5-AD5-(AE5*5)+AM5</f>
        <v>#N/A</v>
      </c>
      <c r="AQ5" s="27" t="e">
        <f t="shared" si="1"/>
        <v>#N/A</v>
      </c>
      <c r="AR5" s="28" t="e">
        <f t="shared" si="2"/>
        <v>#N/A</v>
      </c>
    </row>
    <row r="6" spans="1:44" ht="18.75" x14ac:dyDescent="0.2">
      <c r="A6" s="1"/>
      <c r="B6" s="15">
        <v>3</v>
      </c>
      <c r="C6" s="32" t="s">
        <v>39</v>
      </c>
      <c r="D6" s="16" t="e">
        <f>VLOOKUP(A5,'[1]กรอบ '!$A$5:$Z$16,4,0)</f>
        <v>#N/A</v>
      </c>
      <c r="E6" s="17" t="e">
        <f>VLOOKUP(A5,[1]ตำแหน่ง!B5:GE16,12,0)</f>
        <v>#N/A</v>
      </c>
      <c r="F6" s="17" t="e">
        <f>VLOOKUP(A5,[1]ตำแหน่ง!B5:GE16,13,0)</f>
        <v>#N/A</v>
      </c>
      <c r="G6" s="17" t="e">
        <f>VLOOKUP(A5,[1]ตำแหน่ง!B5:GE16,14,0)</f>
        <v>#N/A</v>
      </c>
      <c r="H6" s="17" t="e">
        <f>VLOOKUP(A5,[1]ตำแหน่ง!B5:GE16,15,0)</f>
        <v>#N/A</v>
      </c>
      <c r="I6" s="17" t="e">
        <f>VLOOKUP(A5,[1]ตำแหน่ง!B5:GE16,16,0)</f>
        <v>#N/A</v>
      </c>
      <c r="J6" s="18" t="e">
        <f t="shared" si="3"/>
        <v>#N/A</v>
      </c>
      <c r="K6" s="19" t="e">
        <f t="shared" si="4"/>
        <v>#N/A</v>
      </c>
      <c r="L6" s="17" t="e">
        <f>VLOOKUP(A5,[1]คนจริง!B5:GE16,12,0)</f>
        <v>#N/A</v>
      </c>
      <c r="M6" s="17" t="e">
        <f>VLOOKUP(A5,[1]คนจริง!B5:GE16,13,0)</f>
        <v>#N/A</v>
      </c>
      <c r="N6" s="17" t="e">
        <f>VLOOKUP(A5,[1]คนจริง!B5:GE16,14,0)</f>
        <v>#N/A</v>
      </c>
      <c r="O6" s="17" t="e">
        <f>VLOOKUP(A5,[1]คนจริง!B5:GE16,15,0)</f>
        <v>#N/A</v>
      </c>
      <c r="P6" s="17" t="e">
        <f>VLOOKUP(A5,[1]คนจริง!B5:GE16,16,0)</f>
        <v>#N/A</v>
      </c>
      <c r="Q6" s="18" t="e">
        <f t="shared" si="5"/>
        <v>#N/A</v>
      </c>
      <c r="R6" s="20" t="e">
        <f>D6-Q6</f>
        <v>#N/A</v>
      </c>
      <c r="S6" s="20" t="e">
        <f t="shared" si="6"/>
        <v>#N/A</v>
      </c>
      <c r="T6" s="21" t="e">
        <f>VLOOKUP(A5,[1]เกษียณ!B4:EV15,12,0)</f>
        <v>#N/A</v>
      </c>
      <c r="U6" s="21" t="e">
        <f>VLOOKUP(A5,[1]เกษียณ!B4:EV15,13,0)</f>
        <v>#N/A</v>
      </c>
      <c r="V6" s="21" t="e">
        <f>VLOOKUP(A5,[1]เกษียณ!B4:EV15,14,0)</f>
        <v>#N/A</v>
      </c>
      <c r="W6" s="21" t="e">
        <f>VLOOKUP(A5,[1]เกษียณ!B4:EV15,15,0)</f>
        <v>#N/A</v>
      </c>
      <c r="X6" s="21" t="e">
        <f>VLOOKUP(A5,[1]เกษียณ!B4:EV15,16,0)</f>
        <v>#N/A</v>
      </c>
      <c r="Y6" s="22"/>
      <c r="Z6" s="22"/>
      <c r="AA6" s="22"/>
      <c r="AB6" s="22"/>
      <c r="AC6" s="22"/>
      <c r="AD6" s="19" t="e">
        <f t="shared" si="0"/>
        <v>#N/A</v>
      </c>
      <c r="AE6" s="23">
        <f t="shared" ref="AE6:AE43" si="9">(AC6+AB6+AA6+Z6+Y6)/5</f>
        <v>0</v>
      </c>
      <c r="AF6" s="23" t="e">
        <f>K6+AD6</f>
        <v>#N/A</v>
      </c>
      <c r="AG6" s="23" t="e">
        <f t="shared" ref="AG6:AG7" si="10">(AF6/5)+AE6</f>
        <v>#N/A</v>
      </c>
      <c r="AH6" s="24"/>
      <c r="AI6" s="24"/>
      <c r="AJ6" s="25">
        <f t="shared" ref="AJ6:AJ42" si="11">AH6+AI6</f>
        <v>0</v>
      </c>
      <c r="AK6" s="24"/>
      <c r="AL6" s="24"/>
      <c r="AM6" s="25">
        <f t="shared" si="7"/>
        <v>0</v>
      </c>
      <c r="AN6" s="25">
        <f t="shared" si="8"/>
        <v>0</v>
      </c>
      <c r="AO6" s="25">
        <f>AL6/5</f>
        <v>0</v>
      </c>
      <c r="AP6" s="26" t="e">
        <f>J6-AD6-(AE6*5)+AM6</f>
        <v>#N/A</v>
      </c>
      <c r="AQ6" s="27" t="e">
        <f t="shared" si="1"/>
        <v>#N/A</v>
      </c>
      <c r="AR6" s="28" t="e">
        <f t="shared" si="2"/>
        <v>#N/A</v>
      </c>
    </row>
    <row r="7" spans="1:44" ht="18.75" x14ac:dyDescent="0.2">
      <c r="A7" s="1"/>
      <c r="B7" s="15">
        <v>4</v>
      </c>
      <c r="C7" s="30" t="s">
        <v>40</v>
      </c>
      <c r="D7" s="16" t="e">
        <f>VLOOKUP(A5,'[1]กรอบ '!$A$5:$Z$16,5,0)</f>
        <v>#N/A</v>
      </c>
      <c r="E7" s="33" t="e">
        <f>VLOOKUP(A5,[1]ตำแหน่ง!B5:GE16,17,0)</f>
        <v>#N/A</v>
      </c>
      <c r="F7" s="33" t="e">
        <f>VLOOKUP(A5,[1]ตำแหน่ง!B5:GE16,18,0)</f>
        <v>#N/A</v>
      </c>
      <c r="G7" s="33" t="e">
        <f>VLOOKUP(A5,[1]ตำแหน่ง!B5:GE16,19,0)</f>
        <v>#N/A</v>
      </c>
      <c r="H7" s="33" t="e">
        <f>VLOOKUP(A5,[1]ตำแหน่ง!B5:GE16,20,0)</f>
        <v>#N/A</v>
      </c>
      <c r="I7" s="33" t="e">
        <f>VLOOKUP(A5,[1]ตำแหน่ง!B5:GE16,21,0)</f>
        <v>#N/A</v>
      </c>
      <c r="J7" s="18" t="e">
        <f t="shared" si="3"/>
        <v>#N/A</v>
      </c>
      <c r="K7" s="19" t="e">
        <f t="shared" si="4"/>
        <v>#N/A</v>
      </c>
      <c r="L7" s="33" t="e">
        <f>VLOOKUP(A5,[1]คนจริง!B5:GE16,17,0)</f>
        <v>#N/A</v>
      </c>
      <c r="M7" s="33" t="e">
        <f>VLOOKUP(A5,[1]คนจริง!B5:GE16,18,0)</f>
        <v>#N/A</v>
      </c>
      <c r="N7" s="33" t="e">
        <f>VLOOKUP(A5,[1]คนจริง!B5:GE16,19,0)</f>
        <v>#N/A</v>
      </c>
      <c r="O7" s="33" t="e">
        <f>VLOOKUP(A5,[1]คนจริง!B5:GE16,20,0)</f>
        <v>#N/A</v>
      </c>
      <c r="P7" s="33" t="e">
        <f>VLOOKUP(A5,[1]คนจริง!B5:GE16,21,0)</f>
        <v>#N/A</v>
      </c>
      <c r="Q7" s="18" t="e">
        <f t="shared" si="5"/>
        <v>#N/A</v>
      </c>
      <c r="R7" s="20" t="e">
        <f>D7-Q7</f>
        <v>#N/A</v>
      </c>
      <c r="S7" s="20" t="e">
        <f t="shared" si="6"/>
        <v>#N/A</v>
      </c>
      <c r="T7" s="21" t="e">
        <f>VLOOKUP(A5,[1]เกษียณ!B4:EV15,17,0)</f>
        <v>#N/A</v>
      </c>
      <c r="U7" s="21" t="e">
        <f>VLOOKUP(A5,[1]เกษียณ!B4:EV15,18,0)</f>
        <v>#N/A</v>
      </c>
      <c r="V7" s="21" t="e">
        <f>VLOOKUP(A5,[1]เกษียณ!B4:EV15,19,0)</f>
        <v>#N/A</v>
      </c>
      <c r="W7" s="21" t="e">
        <f>VLOOKUP(A5,[1]เกษียณ!B4:EV15,20,0)</f>
        <v>#N/A</v>
      </c>
      <c r="X7" s="21" t="e">
        <f>VLOOKUP(A5,[1]เกษียณ!B4:EV15,21,0)</f>
        <v>#N/A</v>
      </c>
      <c r="Y7" s="22"/>
      <c r="Z7" s="22"/>
      <c r="AA7" s="22"/>
      <c r="AB7" s="22"/>
      <c r="AC7" s="22"/>
      <c r="AD7" s="19" t="e">
        <f t="shared" si="0"/>
        <v>#N/A</v>
      </c>
      <c r="AE7" s="23">
        <f t="shared" si="9"/>
        <v>0</v>
      </c>
      <c r="AF7" s="23" t="e">
        <f>K7+AD7</f>
        <v>#N/A</v>
      </c>
      <c r="AG7" s="23" t="e">
        <f t="shared" si="10"/>
        <v>#N/A</v>
      </c>
      <c r="AH7" s="24"/>
      <c r="AI7" s="24"/>
      <c r="AJ7" s="25">
        <f t="shared" si="11"/>
        <v>0</v>
      </c>
      <c r="AK7" s="24"/>
      <c r="AL7" s="24"/>
      <c r="AM7" s="25">
        <f t="shared" si="7"/>
        <v>0</v>
      </c>
      <c r="AN7" s="25">
        <f t="shared" si="8"/>
        <v>0</v>
      </c>
      <c r="AO7" s="25">
        <f>AL7/5</f>
        <v>0</v>
      </c>
      <c r="AP7" s="26" t="e">
        <f>J7-AD7-(AE7*5)+AM7</f>
        <v>#N/A</v>
      </c>
      <c r="AQ7" s="27" t="e">
        <f t="shared" si="1"/>
        <v>#N/A</v>
      </c>
      <c r="AR7" s="34" t="e">
        <f t="shared" si="2"/>
        <v>#N/A</v>
      </c>
    </row>
    <row r="8" spans="1:44" ht="18.75" x14ac:dyDescent="0.2">
      <c r="A8" s="1"/>
      <c r="B8" s="15"/>
      <c r="C8" s="30" t="s">
        <v>41</v>
      </c>
      <c r="D8" s="16" t="e">
        <f>VLOOKUP(A5,'[1]กรอบ '!$A$5:$Z$16,6,0)</f>
        <v>#N/A</v>
      </c>
      <c r="E8" s="33" t="e">
        <f>VLOOKUP(A5,[1]ตำแหน่ง!B5:GE16,22,0)</f>
        <v>#N/A</v>
      </c>
      <c r="F8" s="17" t="e">
        <f>VLOOKUP(A5,[1]ตำแหน่ง!B5:GE16,23,0)</f>
        <v>#N/A</v>
      </c>
      <c r="G8" s="17" t="e">
        <f>VLOOKUP(A5,[1]ตำแหน่ง!B5:GE16,24,0)</f>
        <v>#N/A</v>
      </c>
      <c r="H8" s="17" t="e">
        <f>VLOOKUP(A5,[1]ตำแหน่ง!B5:GE16,25,0)</f>
        <v>#N/A</v>
      </c>
      <c r="I8" s="17" t="e">
        <f>VLOOKUP(A5,[1]ตำแหน่ง!B5:GE16,26,0)</f>
        <v>#N/A</v>
      </c>
      <c r="J8" s="18" t="e">
        <f t="shared" si="3"/>
        <v>#N/A</v>
      </c>
      <c r="K8" s="19" t="e">
        <f t="shared" si="4"/>
        <v>#N/A</v>
      </c>
      <c r="L8" s="33" t="e">
        <f>VLOOKUP(A5,[1]คนจริง!B5:GE16,22,0)</f>
        <v>#N/A</v>
      </c>
      <c r="M8" s="17" t="e">
        <f>VLOOKUP(A5,[1]คนจริง!B5:GE16,23,0)</f>
        <v>#N/A</v>
      </c>
      <c r="N8" s="17" t="e">
        <f>VLOOKUP(A5,[1]คนจริง!B5:GE16,24,0)</f>
        <v>#N/A</v>
      </c>
      <c r="O8" s="17" t="e">
        <f>VLOOKUP(A5,[1]คนจริง!B5:GE16,25,0)</f>
        <v>#N/A</v>
      </c>
      <c r="P8" s="17" t="e">
        <f>VLOOKUP(A5,[1]คนจริง!B5:GE16,26,0)</f>
        <v>#N/A</v>
      </c>
      <c r="Q8" s="18" t="e">
        <f t="shared" si="5"/>
        <v>#N/A</v>
      </c>
      <c r="R8" s="20" t="e">
        <f>D8-Q8</f>
        <v>#N/A</v>
      </c>
      <c r="S8" s="20" t="e">
        <f t="shared" si="6"/>
        <v>#N/A</v>
      </c>
      <c r="T8" s="21" t="e">
        <f>VLOOKUP(A5,[1]เกษียณ!B4:EV15,22,0)</f>
        <v>#N/A</v>
      </c>
      <c r="U8" s="21" t="e">
        <f>VLOOKUP(A5,[1]เกษียณ!B4:EV15,23,0)</f>
        <v>#N/A</v>
      </c>
      <c r="V8" s="21" t="e">
        <f>VLOOKUP(A5,[1]เกษียณ!B4:EV15,24,0)</f>
        <v>#N/A</v>
      </c>
      <c r="W8" s="21" t="e">
        <f>VLOOKUP(A5,[1]เกษียณ!B4:EV15,25,0)</f>
        <v>#N/A</v>
      </c>
      <c r="X8" s="21" t="e">
        <f>VLOOKUP(A5,[1]เกษียณ!B4:EV15,26,0)</f>
        <v>#N/A</v>
      </c>
      <c r="Y8" s="22"/>
      <c r="Z8" s="22"/>
      <c r="AA8" s="22"/>
      <c r="AB8" s="22"/>
      <c r="AC8" s="22"/>
      <c r="AD8" s="19" t="e">
        <f t="shared" si="0"/>
        <v>#N/A</v>
      </c>
      <c r="AE8" s="23">
        <f t="shared" si="9"/>
        <v>0</v>
      </c>
      <c r="AF8" s="35" t="e">
        <f>K8+AD8</f>
        <v>#N/A</v>
      </c>
      <c r="AG8" s="23" t="e">
        <f>(AF8/5)+AE8</f>
        <v>#N/A</v>
      </c>
      <c r="AH8" s="24"/>
      <c r="AI8" s="24"/>
      <c r="AJ8" s="25">
        <f t="shared" si="11"/>
        <v>0</v>
      </c>
      <c r="AK8" s="24"/>
      <c r="AL8" s="24"/>
      <c r="AM8" s="25">
        <f t="shared" si="7"/>
        <v>0</v>
      </c>
      <c r="AN8" s="25">
        <f t="shared" si="8"/>
        <v>0</v>
      </c>
      <c r="AO8" s="25"/>
      <c r="AP8" s="26" t="e">
        <f>J8-AD8-(AE8*5)+AM8</f>
        <v>#N/A</v>
      </c>
      <c r="AQ8" s="27" t="e">
        <f t="shared" si="1"/>
        <v>#N/A</v>
      </c>
      <c r="AR8" s="34" t="e">
        <f t="shared" si="2"/>
        <v>#N/A</v>
      </c>
    </row>
    <row r="9" spans="1:44" ht="18.75" x14ac:dyDescent="0.2">
      <c r="A9" s="1"/>
      <c r="B9" s="36">
        <v>5</v>
      </c>
      <c r="C9" s="32" t="s">
        <v>42</v>
      </c>
      <c r="D9" s="99" t="e">
        <f>VLOOKUP(A5,'[1]กรอบ '!$A$5:$Z$16,7,0)</f>
        <v>#N/A</v>
      </c>
      <c r="E9" s="33" t="e">
        <f>VLOOKUP(A5,[1]ตำแหน่ง!B5:GE16,27,0)</f>
        <v>#N/A</v>
      </c>
      <c r="F9" s="33" t="e">
        <f>VLOOKUP(A5,[1]ตำแหน่ง!B5:GE16,28,0)</f>
        <v>#N/A</v>
      </c>
      <c r="G9" s="33" t="e">
        <f>VLOOKUP(A5,[1]ตำแหน่ง!B5:GE16,29,0)</f>
        <v>#N/A</v>
      </c>
      <c r="H9" s="33" t="e">
        <f>VLOOKUP(A5,[1]ตำแหน่ง!B5:GE16,30,0)</f>
        <v>#N/A</v>
      </c>
      <c r="I9" s="33" t="e">
        <f>VLOOKUP(A5,[1]ตำแหน่ง!B5:GE16,31,0)</f>
        <v>#N/A</v>
      </c>
      <c r="J9" s="18" t="e">
        <f t="shared" si="3"/>
        <v>#N/A</v>
      </c>
      <c r="K9" s="101" t="e">
        <f>D9-(E9+E10+E11)</f>
        <v>#N/A</v>
      </c>
      <c r="L9" s="33" t="e">
        <f>VLOOKUP(A5,[1]คนจริง!B5:GE16,27,0)</f>
        <v>#N/A</v>
      </c>
      <c r="M9" s="33" t="e">
        <f>VLOOKUP(A5,[1]คนจริง!B5:GE16,28,0)</f>
        <v>#N/A</v>
      </c>
      <c r="N9" s="33" t="e">
        <f>VLOOKUP(A5,[1]คนจริง!B5:GE16,29,0)</f>
        <v>#N/A</v>
      </c>
      <c r="O9" s="33" t="e">
        <f>VLOOKUP(A5,[1]คนจริง!B5:GE16,30,0)</f>
        <v>#N/A</v>
      </c>
      <c r="P9" s="33" t="e">
        <f>VLOOKUP(A5,[1]คนจริง!B5:GE16,31,0)</f>
        <v>#N/A</v>
      </c>
      <c r="Q9" s="18" t="e">
        <f t="shared" si="5"/>
        <v>#N/A</v>
      </c>
      <c r="R9" s="37" t="e">
        <f>D9-(Q9+Q10+Q11)</f>
        <v>#N/A</v>
      </c>
      <c r="S9" s="20" t="e">
        <f t="shared" si="6"/>
        <v>#N/A</v>
      </c>
      <c r="T9" s="38" t="e">
        <f>VLOOKUP(A5,[1]เกษียณ!B4:EV15,27,0)</f>
        <v>#N/A</v>
      </c>
      <c r="U9" s="21" t="e">
        <f>VLOOKUP(A5,[1]เกษียณ!B4:EV15,28,0)</f>
        <v>#N/A</v>
      </c>
      <c r="V9" s="21" t="e">
        <f>VLOOKUP(A5,[1]เกษียณ!B4:EV15,29,0)</f>
        <v>#N/A</v>
      </c>
      <c r="W9" s="21" t="e">
        <f>VLOOKUP(A5,[1]เกษียณ!B4:EV15,30,0)</f>
        <v>#N/A</v>
      </c>
      <c r="X9" s="21" t="e">
        <f>VLOOKUP(A5,[1]เกษียณ!B4:EV15,31,0)</f>
        <v>#N/A</v>
      </c>
      <c r="Y9" s="22"/>
      <c r="Z9" s="22"/>
      <c r="AA9" s="22"/>
      <c r="AB9" s="22"/>
      <c r="AC9" s="22"/>
      <c r="AD9" s="19" t="e">
        <f t="shared" si="0"/>
        <v>#N/A</v>
      </c>
      <c r="AE9" s="23">
        <f t="shared" si="9"/>
        <v>0</v>
      </c>
      <c r="AF9" s="35" t="e">
        <f>K9+AD9+AD10+AD11</f>
        <v>#N/A</v>
      </c>
      <c r="AG9" s="39" t="e">
        <f>SUM(AE9:AE11)+AF9/5</f>
        <v>#N/A</v>
      </c>
      <c r="AH9" s="24"/>
      <c r="AI9" s="24"/>
      <c r="AJ9" s="25">
        <f t="shared" si="11"/>
        <v>0</v>
      </c>
      <c r="AK9" s="24"/>
      <c r="AL9" s="24"/>
      <c r="AM9" s="25">
        <f t="shared" si="7"/>
        <v>0</v>
      </c>
      <c r="AN9" s="25">
        <f t="shared" si="8"/>
        <v>0</v>
      </c>
      <c r="AO9" s="25">
        <f>AL9/5</f>
        <v>0</v>
      </c>
      <c r="AP9" s="26" t="e">
        <f>(J9+J10+J11)-SUM(AD9:AD11)-SUM(AE9:AE11)/5+SUM(AM9:AM11)</f>
        <v>#N/A</v>
      </c>
      <c r="AQ9" s="27" t="e">
        <f t="shared" si="1"/>
        <v>#N/A</v>
      </c>
      <c r="AR9" s="34" t="e">
        <f t="shared" si="2"/>
        <v>#N/A</v>
      </c>
    </row>
    <row r="10" spans="1:44" ht="18.75" x14ac:dyDescent="0.2">
      <c r="A10" s="1"/>
      <c r="B10" s="40">
        <v>6</v>
      </c>
      <c r="C10" s="32" t="s">
        <v>43</v>
      </c>
      <c r="D10" s="100"/>
      <c r="E10" s="33" t="e">
        <f>VLOOKUP(A5,[1]ตำแหน่ง!B5:GE16,32,0)</f>
        <v>#N/A</v>
      </c>
      <c r="F10" s="33" t="e">
        <f>VLOOKUP(A5,[1]ตำแหน่ง!B5:GE16,33,0)</f>
        <v>#N/A</v>
      </c>
      <c r="G10" s="33" t="e">
        <f>VLOOKUP(A5,[1]ตำแหน่ง!B5:GE16,34,0)</f>
        <v>#N/A</v>
      </c>
      <c r="H10" s="33" t="e">
        <f>VLOOKUP(A5,[1]ตำแหน่ง!B5:GE16,35,0)</f>
        <v>#N/A</v>
      </c>
      <c r="I10" s="33" t="e">
        <f>VLOOKUP(A5,[1]ตำแหน่ง!B5:GE16,36,0)</f>
        <v>#N/A</v>
      </c>
      <c r="J10" s="18" t="e">
        <f t="shared" si="3"/>
        <v>#N/A</v>
      </c>
      <c r="K10" s="102"/>
      <c r="L10" s="33" t="e">
        <f>VLOOKUP(A5,[1]คนจริง!B5:GE16,32,0)</f>
        <v>#N/A</v>
      </c>
      <c r="M10" s="33" t="e">
        <f>VLOOKUP(A5,[1]คนจริง!B5:GE16,33,0)</f>
        <v>#N/A</v>
      </c>
      <c r="N10" s="33" t="e">
        <f>VLOOKUP(A5,[1]คนจริง!B5:GE16,34,0)</f>
        <v>#N/A</v>
      </c>
      <c r="O10" s="33" t="e">
        <f>VLOOKUP(A5,[1]คนจริง!B5:GE16,35,0)</f>
        <v>#N/A</v>
      </c>
      <c r="P10" s="33" t="e">
        <f>VLOOKUP(A5,[1]คนจริง!B5:GE16,36,0)</f>
        <v>#N/A</v>
      </c>
      <c r="Q10" s="18" t="e">
        <f t="shared" si="5"/>
        <v>#N/A</v>
      </c>
      <c r="R10" s="41"/>
      <c r="S10" s="20" t="e">
        <f t="shared" si="6"/>
        <v>#N/A</v>
      </c>
      <c r="T10" s="38" t="e">
        <f>VLOOKUP(A5,[1]เกษียณ!B4:EV15,32,0)</f>
        <v>#N/A</v>
      </c>
      <c r="U10" s="21" t="e">
        <f>VLOOKUP(A5,[1]เกษียณ!B4:EV15,33,0)</f>
        <v>#N/A</v>
      </c>
      <c r="V10" s="21" t="e">
        <f>VLOOKUP(A5,[1]เกษียณ!B4:EV15,34,0)</f>
        <v>#N/A</v>
      </c>
      <c r="W10" s="21" t="e">
        <f>VLOOKUP(A5,[1]เกษียณ!B4:EV15,35,0)</f>
        <v>#N/A</v>
      </c>
      <c r="X10" s="21" t="e">
        <f>VLOOKUP(A5,[1]เกษียณ!B4:EV15,36,0)</f>
        <v>#N/A</v>
      </c>
      <c r="Y10" s="22"/>
      <c r="Z10" s="22"/>
      <c r="AA10" s="22"/>
      <c r="AB10" s="22"/>
      <c r="AC10" s="22"/>
      <c r="AD10" s="19" t="e">
        <f t="shared" si="0"/>
        <v>#N/A</v>
      </c>
      <c r="AE10" s="23">
        <f t="shared" si="9"/>
        <v>0</v>
      </c>
      <c r="AF10" s="42"/>
      <c r="AG10" s="42"/>
      <c r="AH10" s="24"/>
      <c r="AI10" s="24"/>
      <c r="AJ10" s="25">
        <f t="shared" si="11"/>
        <v>0</v>
      </c>
      <c r="AK10" s="24"/>
      <c r="AL10" s="24"/>
      <c r="AM10" s="25">
        <f t="shared" si="7"/>
        <v>0</v>
      </c>
      <c r="AN10" s="25">
        <f t="shared" si="8"/>
        <v>0</v>
      </c>
      <c r="AO10" s="25">
        <f>AL10/5</f>
        <v>0</v>
      </c>
      <c r="AP10" s="25"/>
      <c r="AQ10" s="27"/>
      <c r="AR10" s="34"/>
    </row>
    <row r="11" spans="1:44" ht="18.75" x14ac:dyDescent="0.2">
      <c r="A11" s="1"/>
      <c r="B11" s="43">
        <v>7</v>
      </c>
      <c r="C11" s="32" t="s">
        <v>44</v>
      </c>
      <c r="D11" s="100"/>
      <c r="E11" s="33" t="e">
        <f>VLOOKUP(A5,[1]ตำแหน่ง!B5:GE16,37,0)</f>
        <v>#N/A</v>
      </c>
      <c r="F11" s="33" t="e">
        <f>VLOOKUP(A5,[1]ตำแหน่ง!B5:GE16,38,0)</f>
        <v>#N/A</v>
      </c>
      <c r="G11" s="33" t="e">
        <f>VLOOKUP(A5,[1]ตำแหน่ง!B5:GE16,39,0)</f>
        <v>#N/A</v>
      </c>
      <c r="H11" s="33" t="e">
        <f>VLOOKUP(A5,[1]ตำแหน่ง!B5:GE16,40,0)</f>
        <v>#N/A</v>
      </c>
      <c r="I11" s="33" t="e">
        <f>VLOOKUP(A5,[1]ตำแหน่ง!B5:GE16,41,0)</f>
        <v>#N/A</v>
      </c>
      <c r="J11" s="18" t="e">
        <f t="shared" si="3"/>
        <v>#N/A</v>
      </c>
      <c r="K11" s="102"/>
      <c r="L11" s="33" t="e">
        <f>VLOOKUP(A5,[1]คนจริง!B5:GE16,37,0)</f>
        <v>#N/A</v>
      </c>
      <c r="M11" s="17" t="e">
        <f>VLOOKUP(A5,[1]คนจริง!B5:GE16,38,0)</f>
        <v>#N/A</v>
      </c>
      <c r="N11" s="33" t="e">
        <f>VLOOKUP(A5,[1]คนจริง!B5:GE16,39,0)</f>
        <v>#N/A</v>
      </c>
      <c r="O11" s="33" t="e">
        <f>VLOOKUP(A5,[1]คนจริง!B5:GE16,40,0)</f>
        <v>#N/A</v>
      </c>
      <c r="P11" s="33" t="e">
        <f>VLOOKUP(A5,[1]คนจริง!B5:GE16,41,0)</f>
        <v>#N/A</v>
      </c>
      <c r="Q11" s="18" t="e">
        <f t="shared" si="5"/>
        <v>#N/A</v>
      </c>
      <c r="R11" s="41"/>
      <c r="S11" s="20" t="e">
        <f t="shared" si="6"/>
        <v>#N/A</v>
      </c>
      <c r="T11" s="38" t="e">
        <f>VLOOKUP(A5,[1]เกษียณ!B4:EV15,37,0)</f>
        <v>#N/A</v>
      </c>
      <c r="U11" s="21" t="e">
        <f>VLOOKUP(A5,[1]เกษียณ!B4:EV15,38,0)</f>
        <v>#N/A</v>
      </c>
      <c r="V11" s="21" t="e">
        <f>VLOOKUP(A5,[1]เกษียณ!B4:EV15,39,0)</f>
        <v>#N/A</v>
      </c>
      <c r="W11" s="21" t="e">
        <f>VLOOKUP(A5,[1]เกษียณ!B4:EV15,40,0)</f>
        <v>#N/A</v>
      </c>
      <c r="X11" s="21" t="e">
        <f>VLOOKUP(A5,[1]เกษียณ!B4:EV15,41,0)</f>
        <v>#N/A</v>
      </c>
      <c r="Y11" s="22"/>
      <c r="Z11" s="22"/>
      <c r="AA11" s="22"/>
      <c r="AB11" s="22"/>
      <c r="AC11" s="22"/>
      <c r="AD11" s="19" t="e">
        <f t="shared" si="0"/>
        <v>#N/A</v>
      </c>
      <c r="AE11" s="23">
        <f t="shared" si="9"/>
        <v>0</v>
      </c>
      <c r="AF11" s="44"/>
      <c r="AG11" s="44"/>
      <c r="AH11" s="45"/>
      <c r="AI11" s="45"/>
      <c r="AJ11" s="25">
        <f t="shared" si="11"/>
        <v>0</v>
      </c>
      <c r="AK11" s="45"/>
      <c r="AL11" s="45"/>
      <c r="AM11" s="25">
        <f t="shared" si="7"/>
        <v>0</v>
      </c>
      <c r="AN11" s="25">
        <f t="shared" si="8"/>
        <v>0</v>
      </c>
      <c r="AO11" s="25">
        <f>AL11/5</f>
        <v>0</v>
      </c>
      <c r="AP11" s="25"/>
      <c r="AQ11" s="27"/>
      <c r="AR11" s="34"/>
    </row>
    <row r="12" spans="1:44" ht="18.75" x14ac:dyDescent="0.2">
      <c r="A12" s="1"/>
      <c r="B12" s="85">
        <v>8</v>
      </c>
      <c r="C12" s="32" t="s">
        <v>45</v>
      </c>
      <c r="D12" s="88" t="e">
        <f>VLOOKUP(A5,'[1]กรอบ '!$A$5:$Z$16,8,0)</f>
        <v>#N/A</v>
      </c>
      <c r="E12" s="33" t="e">
        <f>VLOOKUP(A5,[1]ตำแหน่ง!B5:GE16,42,0)</f>
        <v>#N/A</v>
      </c>
      <c r="F12" s="33" t="e">
        <f>VLOOKUP(A5,[1]ตำแหน่ง!B5:GE16,43,0)</f>
        <v>#N/A</v>
      </c>
      <c r="G12" s="33" t="e">
        <f>VLOOKUP(A5,[1]ตำแหน่ง!B5:GE16,44,0)</f>
        <v>#N/A</v>
      </c>
      <c r="H12" s="33" t="e">
        <f>VLOOKUP(A5,[1]ตำแหน่ง!B5:GE16,45,0)</f>
        <v>#N/A</v>
      </c>
      <c r="I12" s="33" t="e">
        <f>VLOOKUP(A5,[1]ตำแหน่ง!B5:GE16,46,0)</f>
        <v>#N/A</v>
      </c>
      <c r="J12" s="18" t="e">
        <f t="shared" si="3"/>
        <v>#N/A</v>
      </c>
      <c r="K12" s="89" t="e">
        <f>D12-(E12+E13)</f>
        <v>#N/A</v>
      </c>
      <c r="L12" s="33" t="e">
        <f>VLOOKUP(A5,[1]คนจริง!B5:GE16,42,0)</f>
        <v>#N/A</v>
      </c>
      <c r="M12" s="33" t="e">
        <f>VLOOKUP(A5,[1]คนจริง!B5:GE16,43,0)</f>
        <v>#N/A</v>
      </c>
      <c r="N12" s="33" t="e">
        <f>VLOOKUP(A5,[1]คนจริง!B5:GE16,44,0)</f>
        <v>#N/A</v>
      </c>
      <c r="O12" s="33" t="e">
        <f>VLOOKUP(A5,[1]คนจริง!B5:GE16,45,0)</f>
        <v>#N/A</v>
      </c>
      <c r="P12" s="33" t="e">
        <f>VLOOKUP(A5,[1]คนจริง!B5:GE16,46,0)</f>
        <v>#N/A</v>
      </c>
      <c r="Q12" s="18" t="e">
        <f t="shared" si="5"/>
        <v>#N/A</v>
      </c>
      <c r="R12" s="46" t="e">
        <f>D12-(Q12+Q13)</f>
        <v>#N/A</v>
      </c>
      <c r="S12" s="20" t="e">
        <f t="shared" si="6"/>
        <v>#N/A</v>
      </c>
      <c r="T12" s="21" t="e">
        <f>VLOOKUP(A5,[1]เกษียณ!B4:EV15,42,0)</f>
        <v>#N/A</v>
      </c>
      <c r="U12" s="21" t="e">
        <f>VLOOKUP(A5,[1]เกษียณ!B4:EV15,43,0)</f>
        <v>#N/A</v>
      </c>
      <c r="V12" s="21" t="e">
        <f>VLOOKUP(A5,[1]เกษียณ!B4:EV15,44,0)</f>
        <v>#N/A</v>
      </c>
      <c r="W12" s="21" t="e">
        <f>VLOOKUP(A5,[1]เกษียณ!B4:EV15,45,0)</f>
        <v>#N/A</v>
      </c>
      <c r="X12" s="21" t="e">
        <f>VLOOKUP(A5,[1]เกษียณ!B4:EV15,46,0)</f>
        <v>#N/A</v>
      </c>
      <c r="Y12" s="22"/>
      <c r="Z12" s="22"/>
      <c r="AA12" s="22"/>
      <c r="AB12" s="22"/>
      <c r="AC12" s="22"/>
      <c r="AD12" s="19" t="e">
        <f t="shared" si="0"/>
        <v>#N/A</v>
      </c>
      <c r="AE12" s="23">
        <f t="shared" si="9"/>
        <v>0</v>
      </c>
      <c r="AF12" s="35" t="e">
        <f>K12+AD12+AD13</f>
        <v>#N/A</v>
      </c>
      <c r="AG12" s="39" t="e">
        <f>SUM(AE12:AE13)+AF12/5</f>
        <v>#N/A</v>
      </c>
      <c r="AH12" s="47"/>
      <c r="AI12" s="24"/>
      <c r="AJ12" s="25">
        <f t="shared" si="11"/>
        <v>0</v>
      </c>
      <c r="AK12" s="24"/>
      <c r="AL12" s="24"/>
      <c r="AM12" s="25">
        <f t="shared" si="7"/>
        <v>0</v>
      </c>
      <c r="AN12" s="25">
        <f>AM12/5</f>
        <v>0</v>
      </c>
      <c r="AO12" s="25">
        <f t="shared" ref="AO12:AO18" si="12">AL12/5</f>
        <v>0</v>
      </c>
      <c r="AP12" s="26" t="e">
        <f>(J12+J13)-SUM(AD12:AD13)-SUM(AE12:AE13)/5+SUM(AM12:AM13)</f>
        <v>#N/A</v>
      </c>
      <c r="AQ12" s="27" t="e">
        <f>D12-AP12</f>
        <v>#N/A</v>
      </c>
      <c r="AR12" s="28" t="e">
        <f>AP12/D12*100</f>
        <v>#N/A</v>
      </c>
    </row>
    <row r="13" spans="1:44" ht="18.75" x14ac:dyDescent="0.2">
      <c r="A13" s="1"/>
      <c r="B13" s="87"/>
      <c r="C13" s="48" t="s">
        <v>46</v>
      </c>
      <c r="D13" s="88"/>
      <c r="E13" s="33" t="e">
        <f>VLOOKUP(A5,[1]ตำแหน่ง!B5:GE16,47,0)</f>
        <v>#N/A</v>
      </c>
      <c r="F13" s="33" t="e">
        <f>VLOOKUP(A5,[1]ตำแหน่ง!B5:GE16,48,0)</f>
        <v>#N/A</v>
      </c>
      <c r="G13" s="33" t="e">
        <f>VLOOKUP(A5,[1]ตำแหน่ง!B5:GE16,49,0)</f>
        <v>#N/A</v>
      </c>
      <c r="H13" s="33" t="e">
        <f>VLOOKUP(A5,[1]ตำแหน่ง!B5:GE16,50,0)</f>
        <v>#N/A</v>
      </c>
      <c r="I13" s="33" t="e">
        <f>VLOOKUP(A5,[1]ตำแหน่ง!B5:GE16,51,0)</f>
        <v>#N/A</v>
      </c>
      <c r="J13" s="18" t="e">
        <f t="shared" si="3"/>
        <v>#N/A</v>
      </c>
      <c r="K13" s="91"/>
      <c r="L13" s="33" t="e">
        <f>VLOOKUP(A5,[1]คนจริง!B5:GE16,47,0)</f>
        <v>#N/A</v>
      </c>
      <c r="M13" s="33" t="e">
        <f>VLOOKUP(A5,[1]คนจริง!B5:GE16,48,0)</f>
        <v>#N/A</v>
      </c>
      <c r="N13" s="33" t="e">
        <f>VLOOKUP(A5,[1]คนจริง!B5:GE16,49,0)</f>
        <v>#N/A</v>
      </c>
      <c r="O13" s="33" t="e">
        <f>VLOOKUP(A5,[1]คนจริง!B5:GE16,50,0)</f>
        <v>#N/A</v>
      </c>
      <c r="P13" s="33" t="e">
        <f>VLOOKUP(A5,[1]คนจริง!B5:GE16,51,0)</f>
        <v>#N/A</v>
      </c>
      <c r="Q13" s="18" t="e">
        <f t="shared" si="5"/>
        <v>#N/A</v>
      </c>
      <c r="R13" s="49"/>
      <c r="S13" s="20" t="e">
        <f t="shared" si="6"/>
        <v>#N/A</v>
      </c>
      <c r="T13" s="21" t="e">
        <f>VLOOKUP(A5,[1]เกษียณ!B4:EV15,47,0)</f>
        <v>#N/A</v>
      </c>
      <c r="U13" s="21" t="e">
        <f>VLOOKUP(A5,[1]เกษียณ!B4:EV15,48,0)</f>
        <v>#N/A</v>
      </c>
      <c r="V13" s="21" t="e">
        <f>VLOOKUP(A5,[1]เกษียณ!B4:EV15,49,0)</f>
        <v>#N/A</v>
      </c>
      <c r="W13" s="21" t="e">
        <f>VLOOKUP(A5,[1]เกษียณ!B4:EV15,50,0)</f>
        <v>#N/A</v>
      </c>
      <c r="X13" s="21" t="e">
        <f>VLOOKUP(A5,[1]เกษียณ!B4:EV15,51,0)</f>
        <v>#N/A</v>
      </c>
      <c r="Y13" s="22"/>
      <c r="Z13" s="22"/>
      <c r="AA13" s="22"/>
      <c r="AB13" s="22"/>
      <c r="AC13" s="22"/>
      <c r="AD13" s="19" t="e">
        <f t="shared" si="0"/>
        <v>#N/A</v>
      </c>
      <c r="AE13" s="23">
        <f t="shared" si="9"/>
        <v>0</v>
      </c>
      <c r="AF13" s="42"/>
      <c r="AG13" s="42"/>
      <c r="AH13" s="47"/>
      <c r="AI13" s="24"/>
      <c r="AJ13" s="25">
        <f t="shared" si="11"/>
        <v>0</v>
      </c>
      <c r="AK13" s="24"/>
      <c r="AL13" s="24"/>
      <c r="AM13" s="25">
        <f t="shared" si="7"/>
        <v>0</v>
      </c>
      <c r="AN13" s="25">
        <f>AM13/5</f>
        <v>0</v>
      </c>
      <c r="AO13" s="25">
        <f t="shared" si="12"/>
        <v>0</v>
      </c>
      <c r="AP13" s="25"/>
      <c r="AQ13" s="27"/>
      <c r="AR13" s="34"/>
    </row>
    <row r="14" spans="1:44" ht="18.75" x14ac:dyDescent="0.2">
      <c r="A14" s="1"/>
      <c r="B14" s="36">
        <v>9</v>
      </c>
      <c r="C14" s="32" t="s">
        <v>47</v>
      </c>
      <c r="D14" s="95" t="e">
        <f>VLOOKUP(A5,'[1]กรอบ '!$A$5:$Z$16,9,0)</f>
        <v>#N/A</v>
      </c>
      <c r="E14" s="33" t="e">
        <f>VLOOKUP(A5,[1]ตำแหน่ง!B5:GE16,52,0)</f>
        <v>#N/A</v>
      </c>
      <c r="F14" s="33" t="e">
        <f>VLOOKUP(A5,[1]ตำแหน่ง!B5:GE16,53,0)</f>
        <v>#N/A</v>
      </c>
      <c r="G14" s="33" t="e">
        <f>VLOOKUP(A5,[1]ตำแหน่ง!B5:GE16,54,0)</f>
        <v>#N/A</v>
      </c>
      <c r="H14" s="33" t="e">
        <f>VLOOKUP(A5,[1]ตำแหน่ง!B5:GE16,55,0)</f>
        <v>#N/A</v>
      </c>
      <c r="I14" s="33" t="e">
        <f>VLOOKUP(A5,[1]ตำแหน่ง!B5:GE16,56,0)</f>
        <v>#N/A</v>
      </c>
      <c r="J14" s="18" t="e">
        <f t="shared" si="3"/>
        <v>#N/A</v>
      </c>
      <c r="K14" s="89" t="e">
        <f>(D14-(E14+E15+E16))</f>
        <v>#N/A</v>
      </c>
      <c r="L14" s="33" t="e">
        <f>VLOOKUP(A5,[1]คนจริง!B5:GE16,52,0)</f>
        <v>#N/A</v>
      </c>
      <c r="M14" s="33" t="e">
        <f>VLOOKUP(A5,[1]คนจริง!B5:GE16,53,0)</f>
        <v>#N/A</v>
      </c>
      <c r="N14" s="33" t="e">
        <f>VLOOKUP(A5,[1]คนจริง!B5:GE16,54,0)</f>
        <v>#N/A</v>
      </c>
      <c r="O14" s="33" t="e">
        <f>VLOOKUP(A5,[1]คนจริง!B5:GE16,55,0)</f>
        <v>#N/A</v>
      </c>
      <c r="P14" s="33" t="e">
        <f>VLOOKUP(A5,[1]คนจริง!B5:GE16,56,0)</f>
        <v>#N/A</v>
      </c>
      <c r="Q14" s="50" t="e">
        <f t="shared" si="5"/>
        <v>#N/A</v>
      </c>
      <c r="R14" s="46" t="e">
        <f>D14-(Q14+Q15+Q16)</f>
        <v>#N/A</v>
      </c>
      <c r="S14" s="20" t="e">
        <f t="shared" si="6"/>
        <v>#N/A</v>
      </c>
      <c r="T14" s="38" t="e">
        <f>VLOOKUP(A5,[1]เกษียณ!B4:EV15,52,0)</f>
        <v>#N/A</v>
      </c>
      <c r="U14" s="21" t="e">
        <f>VLOOKUP(A5,[1]เกษียณ!B4:EV15,53,0)</f>
        <v>#N/A</v>
      </c>
      <c r="V14" s="21" t="e">
        <f>VLOOKUP(A5,[1]เกษียณ!B4:EV15,54,0)</f>
        <v>#N/A</v>
      </c>
      <c r="W14" s="21" t="e">
        <f>VLOOKUP(A5,[1]เกษียณ!B4:EV15,55,0)</f>
        <v>#N/A</v>
      </c>
      <c r="X14" s="21" t="e">
        <f>VLOOKUP(A5,[1]เกษียณ!B4:EV15,56,0)</f>
        <v>#N/A</v>
      </c>
      <c r="Y14" s="22"/>
      <c r="Z14" s="22"/>
      <c r="AA14" s="22"/>
      <c r="AB14" s="22"/>
      <c r="AC14" s="22"/>
      <c r="AD14" s="19" t="e">
        <f t="shared" si="0"/>
        <v>#N/A</v>
      </c>
      <c r="AE14" s="23">
        <f t="shared" si="9"/>
        <v>0</v>
      </c>
      <c r="AF14" s="51" t="e">
        <f>K14+AD14+AD16+AD15</f>
        <v>#N/A</v>
      </c>
      <c r="AG14" s="39" t="e">
        <f>SUM(AE14:AE16)+AF14/5</f>
        <v>#N/A</v>
      </c>
      <c r="AH14" s="47"/>
      <c r="AI14" s="24"/>
      <c r="AJ14" s="25">
        <f t="shared" si="11"/>
        <v>0</v>
      </c>
      <c r="AK14" s="24"/>
      <c r="AL14" s="24"/>
      <c r="AM14" s="25">
        <f t="shared" si="7"/>
        <v>0</v>
      </c>
      <c r="AN14" s="25">
        <f t="shared" ref="AN14:AN42" si="13">AM14/5</f>
        <v>0</v>
      </c>
      <c r="AO14" s="25">
        <f t="shared" si="12"/>
        <v>0</v>
      </c>
      <c r="AP14" s="26" t="e">
        <f>(J14+J15+J16)-SUM(AD14:AD16)-SUM(AE14:AE16)/5+SUM(AM14:AM16)</f>
        <v>#N/A</v>
      </c>
      <c r="AQ14" s="27" t="e">
        <f>D14-AP14</f>
        <v>#N/A</v>
      </c>
      <c r="AR14" s="34" t="e">
        <f>AP14/D14*100</f>
        <v>#N/A</v>
      </c>
    </row>
    <row r="15" spans="1:44" ht="18.75" x14ac:dyDescent="0.2">
      <c r="A15" s="1"/>
      <c r="B15" s="43">
        <v>10</v>
      </c>
      <c r="C15" s="32" t="s">
        <v>48</v>
      </c>
      <c r="D15" s="97"/>
      <c r="E15" s="33" t="e">
        <f>VLOOKUP(A5,[1]ตำแหน่ง!B5:GE16,57,0)</f>
        <v>#N/A</v>
      </c>
      <c r="F15" s="33" t="e">
        <f>VLOOKUP(A5,[1]ตำแหน่ง!B5:GE16,58,0)</f>
        <v>#N/A</v>
      </c>
      <c r="G15" s="33" t="e">
        <f>VLOOKUP(A5,[1]ตำแหน่ง!B5:GE16,59,0)</f>
        <v>#N/A</v>
      </c>
      <c r="H15" s="33" t="e">
        <f>VLOOKUP(A5,[1]ตำแหน่ง!B5:GE16,60,0)</f>
        <v>#N/A</v>
      </c>
      <c r="I15" s="33" t="e">
        <f>VLOOKUP(A5,[1]ตำแหน่ง!B5:GE16,61,0)</f>
        <v>#N/A</v>
      </c>
      <c r="J15" s="18" t="e">
        <f t="shared" si="3"/>
        <v>#N/A</v>
      </c>
      <c r="K15" s="90"/>
      <c r="L15" s="33" t="e">
        <f>VLOOKUP(A5,[1]คนจริง!B5:GE16,57,0)</f>
        <v>#N/A</v>
      </c>
      <c r="M15" s="33" t="e">
        <f>VLOOKUP(A5,[1]คนจริง!B5:GE16,58,0)</f>
        <v>#N/A</v>
      </c>
      <c r="N15" s="33" t="e">
        <f>VLOOKUP(A5,[1]คนจริง!B5:GE16,59,0)</f>
        <v>#N/A</v>
      </c>
      <c r="O15" s="33" t="e">
        <f>VLOOKUP(A5,[1]คนจริง!B5:GE16,60,0)</f>
        <v>#N/A</v>
      </c>
      <c r="P15" s="33" t="e">
        <f>VLOOKUP(A5,[1]คนจริง!B5:GE16,61,0)</f>
        <v>#N/A</v>
      </c>
      <c r="Q15" s="50" t="e">
        <f t="shared" si="5"/>
        <v>#N/A</v>
      </c>
      <c r="R15" s="49"/>
      <c r="S15" s="20" t="e">
        <f t="shared" si="6"/>
        <v>#N/A</v>
      </c>
      <c r="T15" s="38" t="e">
        <f>VLOOKUP(A5,[1]เกษียณ!B4:EV15,57,0)</f>
        <v>#N/A</v>
      </c>
      <c r="U15" s="21" t="e">
        <f>VLOOKUP(A5,[1]เกษียณ!B4:EV15,58,0)</f>
        <v>#N/A</v>
      </c>
      <c r="V15" s="21" t="e">
        <f>VLOOKUP(A5,[1]เกษียณ!B4:EV15,59,0)</f>
        <v>#N/A</v>
      </c>
      <c r="W15" s="21" t="e">
        <f>VLOOKUP(A5,[1]เกษียณ!B4:EV15,60,0)</f>
        <v>#N/A</v>
      </c>
      <c r="X15" s="21" t="e">
        <f>VLOOKUP(A5,[1]เกษียณ!B4:EV15,61,0)</f>
        <v>#N/A</v>
      </c>
      <c r="Y15" s="22"/>
      <c r="Z15" s="22"/>
      <c r="AA15" s="22"/>
      <c r="AB15" s="22"/>
      <c r="AC15" s="22"/>
      <c r="AD15" s="19" t="e">
        <f t="shared" si="0"/>
        <v>#N/A</v>
      </c>
      <c r="AE15" s="23">
        <f t="shared" si="9"/>
        <v>0</v>
      </c>
      <c r="AF15" s="52"/>
      <c r="AG15" s="42"/>
      <c r="AH15" s="47"/>
      <c r="AI15" s="24"/>
      <c r="AJ15" s="25">
        <f t="shared" si="11"/>
        <v>0</v>
      </c>
      <c r="AK15" s="24"/>
      <c r="AL15" s="24"/>
      <c r="AM15" s="25">
        <f t="shared" si="7"/>
        <v>0</v>
      </c>
      <c r="AN15" s="25">
        <f t="shared" si="13"/>
        <v>0</v>
      </c>
      <c r="AO15" s="25">
        <f t="shared" si="12"/>
        <v>0</v>
      </c>
      <c r="AP15" s="25"/>
      <c r="AQ15" s="27"/>
      <c r="AR15" s="34"/>
    </row>
    <row r="16" spans="1:44" ht="18.75" x14ac:dyDescent="0.2">
      <c r="A16" s="1"/>
      <c r="B16" s="43"/>
      <c r="C16" s="32" t="s">
        <v>49</v>
      </c>
      <c r="D16" s="96"/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18">
        <f t="shared" si="3"/>
        <v>0</v>
      </c>
      <c r="K16" s="91"/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50">
        <f t="shared" si="5"/>
        <v>0</v>
      </c>
      <c r="R16" s="49"/>
      <c r="S16" s="20">
        <f t="shared" si="6"/>
        <v>0</v>
      </c>
      <c r="T16" s="38"/>
      <c r="U16" s="38"/>
      <c r="V16" s="38"/>
      <c r="W16" s="38"/>
      <c r="X16" s="38"/>
      <c r="Y16" s="22"/>
      <c r="Z16" s="22"/>
      <c r="AA16" s="22"/>
      <c r="AB16" s="22"/>
      <c r="AC16" s="22"/>
      <c r="AD16" s="19">
        <f t="shared" si="0"/>
        <v>0</v>
      </c>
      <c r="AE16" s="23">
        <f t="shared" si="9"/>
        <v>0</v>
      </c>
      <c r="AF16" s="53"/>
      <c r="AG16" s="54"/>
      <c r="AH16" s="47"/>
      <c r="AI16" s="24"/>
      <c r="AJ16" s="25">
        <f t="shared" si="11"/>
        <v>0</v>
      </c>
      <c r="AK16" s="24"/>
      <c r="AL16" s="24"/>
      <c r="AM16" s="25">
        <f t="shared" si="7"/>
        <v>0</v>
      </c>
      <c r="AN16" s="25">
        <f t="shared" si="13"/>
        <v>0</v>
      </c>
      <c r="AO16" s="25"/>
      <c r="AP16" s="25"/>
      <c r="AQ16" s="27"/>
      <c r="AR16" s="34"/>
    </row>
    <row r="17" spans="1:44" ht="18.75" x14ac:dyDescent="0.2">
      <c r="A17" s="1"/>
      <c r="B17" s="15">
        <v>11</v>
      </c>
      <c r="C17" s="32" t="s">
        <v>50</v>
      </c>
      <c r="D17" s="88" t="e">
        <f>VLOOKUP(A5,'[1]กรอบ '!$A$5:$Z$16,10,0)</f>
        <v>#N/A</v>
      </c>
      <c r="E17" s="33" t="e">
        <f>VLOOKUP(A5,[1]ตำแหน่ง!B5:GE16,62,0)</f>
        <v>#N/A</v>
      </c>
      <c r="F17" s="33" t="e">
        <f>VLOOKUP(A5,[1]ตำแหน่ง!B5:GE16,63,0)</f>
        <v>#N/A</v>
      </c>
      <c r="G17" s="33" t="e">
        <f>VLOOKUP(A5,[1]ตำแหน่ง!B5:GE16,64,0)</f>
        <v>#N/A</v>
      </c>
      <c r="H17" s="33" t="e">
        <f>VLOOKUP(A5,[1]ตำแหน่ง!B5:GE16,65,0)</f>
        <v>#N/A</v>
      </c>
      <c r="I17" s="33" t="e">
        <f>VLOOKUP(A5,[1]ตำแหน่ง!B5:GE16,66,0)</f>
        <v>#N/A</v>
      </c>
      <c r="J17" s="18" t="e">
        <f t="shared" si="3"/>
        <v>#N/A</v>
      </c>
      <c r="K17" s="89" t="e">
        <f>D17-(E17+E18)</f>
        <v>#N/A</v>
      </c>
      <c r="L17" s="33" t="e">
        <f>VLOOKUP(A5,[1]คนจริง!B5:GE16,62,0)</f>
        <v>#N/A</v>
      </c>
      <c r="M17" s="33" t="e">
        <f>VLOOKUP(A5,[1]คนจริง!B5:GE16,63,0)</f>
        <v>#N/A</v>
      </c>
      <c r="N17" s="33" t="e">
        <f>VLOOKUP(A5,[1]คนจริง!B5:GE16,64,0)</f>
        <v>#N/A</v>
      </c>
      <c r="O17" s="33" t="e">
        <f>VLOOKUP(A5,[1]คนจริง!B5:GE16,65,0)</f>
        <v>#N/A</v>
      </c>
      <c r="P17" s="33" t="e">
        <f>VLOOKUP(A5,[1]คนจริง!B5:GE16,66,0)</f>
        <v>#N/A</v>
      </c>
      <c r="Q17" s="50" t="e">
        <f t="shared" si="5"/>
        <v>#N/A</v>
      </c>
      <c r="R17" s="46" t="e">
        <f>D17-(Q17+Q18)</f>
        <v>#N/A</v>
      </c>
      <c r="S17" s="20" t="e">
        <f t="shared" si="6"/>
        <v>#N/A</v>
      </c>
      <c r="T17" s="38"/>
      <c r="U17" s="38"/>
      <c r="V17" s="38"/>
      <c r="W17" s="38"/>
      <c r="X17" s="38"/>
      <c r="Y17" s="22"/>
      <c r="Z17" s="22"/>
      <c r="AA17" s="22"/>
      <c r="AB17" s="22"/>
      <c r="AC17" s="22"/>
      <c r="AD17" s="19">
        <f t="shared" si="0"/>
        <v>0</v>
      </c>
      <c r="AE17" s="23">
        <f t="shared" si="9"/>
        <v>0</v>
      </c>
      <c r="AF17" s="54" t="e">
        <f>K17+AD17+AD18</f>
        <v>#N/A</v>
      </c>
      <c r="AG17" s="39" t="e">
        <f>SUM(AE17:AE18)+AF17/5</f>
        <v>#N/A</v>
      </c>
      <c r="AH17" s="24"/>
      <c r="AI17" s="24"/>
      <c r="AJ17" s="25">
        <f t="shared" si="11"/>
        <v>0</v>
      </c>
      <c r="AK17" s="24"/>
      <c r="AL17" s="24"/>
      <c r="AM17" s="25">
        <f t="shared" si="7"/>
        <v>0</v>
      </c>
      <c r="AN17" s="25">
        <f t="shared" si="13"/>
        <v>0</v>
      </c>
      <c r="AO17" s="25">
        <f t="shared" si="12"/>
        <v>0</v>
      </c>
      <c r="AP17" s="26" t="e">
        <f>(J17+J18)-SUM(AD17:AD18)-SUM(AE17:AE18)/5+SUM(AM17:AM18)</f>
        <v>#N/A</v>
      </c>
      <c r="AQ17" s="27" t="e">
        <f>D17-AP17</f>
        <v>#N/A</v>
      </c>
      <c r="AR17" s="34" t="e">
        <f>AP17/D17*100</f>
        <v>#N/A</v>
      </c>
    </row>
    <row r="18" spans="1:44" ht="18.75" x14ac:dyDescent="0.2">
      <c r="A18" s="1"/>
      <c r="B18" s="15"/>
      <c r="C18" s="32" t="s">
        <v>51</v>
      </c>
      <c r="D18" s="88"/>
      <c r="E18" s="33" t="e">
        <f>VLOOKUP(A5,[1]ตำแหน่ง!B5:GE16,67,0)</f>
        <v>#N/A</v>
      </c>
      <c r="F18" s="33" t="e">
        <f>VLOOKUP(A5,[1]ตำแหน่ง!B5:GE16,68,0)</f>
        <v>#N/A</v>
      </c>
      <c r="G18" s="33" t="e">
        <f>VLOOKUP(A5,[1]ตำแหน่ง!B5:GE16,69,0)</f>
        <v>#N/A</v>
      </c>
      <c r="H18" s="33" t="e">
        <f>VLOOKUP(A5,[1]ตำแหน่ง!B5:GE16,70,0)</f>
        <v>#N/A</v>
      </c>
      <c r="I18" s="33" t="e">
        <f>VLOOKUP(A5,[1]ตำแหน่ง!B5:GE16,71,0)</f>
        <v>#N/A</v>
      </c>
      <c r="J18" s="18" t="e">
        <f t="shared" si="3"/>
        <v>#N/A</v>
      </c>
      <c r="K18" s="91"/>
      <c r="L18" s="33" t="e">
        <f>VLOOKUP(A5,[1]คนจริง!B5:GE16,67,0)</f>
        <v>#N/A</v>
      </c>
      <c r="M18" s="33" t="e">
        <f>VLOOKUP(A5,[1]คนจริง!B5:GE16,68,0)</f>
        <v>#N/A</v>
      </c>
      <c r="N18" s="33" t="e">
        <f>VLOOKUP(A5,[1]คนจริง!B5:GE16,69,0)</f>
        <v>#N/A</v>
      </c>
      <c r="O18" s="33" t="e">
        <f>VLOOKUP(A5,[1]คนจริง!B5:GE16,70,0)</f>
        <v>#N/A</v>
      </c>
      <c r="P18" s="33" t="e">
        <f>VLOOKUP(A5,[1]คนจริง!B5:GE16,71,0)</f>
        <v>#N/A</v>
      </c>
      <c r="Q18" s="50" t="e">
        <f t="shared" si="5"/>
        <v>#N/A</v>
      </c>
      <c r="R18" s="43"/>
      <c r="S18" s="20" t="e">
        <f t="shared" si="6"/>
        <v>#N/A</v>
      </c>
      <c r="T18" s="21" t="e">
        <f>VLOOKUP(A5,[1]เกษียณ!B4:EV15,62,0)</f>
        <v>#N/A</v>
      </c>
      <c r="U18" s="21" t="e">
        <f>VLOOKUP(A5,[1]เกษียณ!B4:EV15,63,0)</f>
        <v>#N/A</v>
      </c>
      <c r="V18" s="21" t="e">
        <f>VLOOKUP(A5,[1]เกษียณ!B4:EV15,64,0)</f>
        <v>#N/A</v>
      </c>
      <c r="W18" s="21" t="e">
        <f>VLOOKUP(A5,[1]เกษียณ!B4:EV15,65,0)</f>
        <v>#N/A</v>
      </c>
      <c r="X18" s="21" t="e">
        <f>VLOOKUP(A5,[1]เกษียณ!B4:EV15,66,0)</f>
        <v>#N/A</v>
      </c>
      <c r="Y18" s="22"/>
      <c r="Z18" s="22"/>
      <c r="AA18" s="22"/>
      <c r="AB18" s="22"/>
      <c r="AC18" s="22"/>
      <c r="AD18" s="19" t="e">
        <f t="shared" si="0"/>
        <v>#N/A</v>
      </c>
      <c r="AE18" s="23">
        <f t="shared" si="9"/>
        <v>0</v>
      </c>
      <c r="AF18" s="23"/>
      <c r="AG18" s="23"/>
      <c r="AH18" s="24"/>
      <c r="AI18" s="24"/>
      <c r="AJ18" s="25">
        <f t="shared" si="11"/>
        <v>0</v>
      </c>
      <c r="AK18" s="24"/>
      <c r="AL18" s="24"/>
      <c r="AM18" s="25">
        <f t="shared" si="7"/>
        <v>0</v>
      </c>
      <c r="AN18" s="25">
        <f t="shared" si="13"/>
        <v>0</v>
      </c>
      <c r="AO18" s="25">
        <f t="shared" si="12"/>
        <v>0</v>
      </c>
      <c r="AP18" s="25"/>
      <c r="AQ18" s="27"/>
      <c r="AR18" s="34"/>
    </row>
    <row r="19" spans="1:44" ht="18.75" x14ac:dyDescent="0.2">
      <c r="A19" s="1"/>
      <c r="B19" s="15"/>
      <c r="C19" s="32" t="s">
        <v>52</v>
      </c>
      <c r="D19" s="16" t="e">
        <f>VLOOKUP(A5,'[1]กรอบ '!$A$5:$Z$16,11,0)</f>
        <v>#N/A</v>
      </c>
      <c r="E19" s="17" t="e">
        <f>VLOOKUP(A5,[1]ตำแหน่ง!B5:GE16,72,0)</f>
        <v>#N/A</v>
      </c>
      <c r="F19" s="17" t="e">
        <f>VLOOKUP(A5,[1]ตำแหน่ง!B5:GE16,73,0)</f>
        <v>#N/A</v>
      </c>
      <c r="G19" s="17" t="e">
        <f>VLOOKUP(A5,[1]ตำแหน่ง!B5:GE16,74,0)</f>
        <v>#N/A</v>
      </c>
      <c r="H19" s="17" t="e">
        <f>VLOOKUP(A5,[1]ตำแหน่ง!B5:GE16,75,0)</f>
        <v>#N/A</v>
      </c>
      <c r="I19" s="17" t="e">
        <f>VLOOKUP(A5,[1]ตำแหน่ง!B5:GE16,76,0)</f>
        <v>#N/A</v>
      </c>
      <c r="J19" s="18" t="e">
        <f t="shared" si="3"/>
        <v>#N/A</v>
      </c>
      <c r="K19" s="19" t="e">
        <f>D19-E19</f>
        <v>#N/A</v>
      </c>
      <c r="L19" s="17" t="e">
        <f>VLOOKUP(A5,[1]คนจริง!B5:GE16,72,0)</f>
        <v>#N/A</v>
      </c>
      <c r="M19" s="17" t="e">
        <f>VLOOKUP(A5,[1]คนจริง!B5:GE16,73,0)</f>
        <v>#N/A</v>
      </c>
      <c r="N19" s="17" t="e">
        <f>VLOOKUP(A5,[1]คนจริง!B5:GE16,74,0)</f>
        <v>#N/A</v>
      </c>
      <c r="O19" s="17" t="e">
        <f>VLOOKUP(A5,[1]คนจริง!B5:GE16,75,0)</f>
        <v>#N/A</v>
      </c>
      <c r="P19" s="17" t="e">
        <f>VLOOKUP(A5,[1]คนจริง!B5:GE16,76,0)</f>
        <v>#N/A</v>
      </c>
      <c r="Q19" s="18" t="e">
        <f t="shared" si="5"/>
        <v>#N/A</v>
      </c>
      <c r="R19" s="55" t="e">
        <f>D19-Q19</f>
        <v>#N/A</v>
      </c>
      <c r="S19" s="20" t="e">
        <f t="shared" si="6"/>
        <v>#N/A</v>
      </c>
      <c r="T19" s="21" t="e">
        <f>VLOOKUP(A5,[1]เกษียณ!B4:EV15,67,0)</f>
        <v>#N/A</v>
      </c>
      <c r="U19" s="21" t="e">
        <f>VLOOKUP(A5,[1]เกษียณ!B4:EV15,68,0)</f>
        <v>#N/A</v>
      </c>
      <c r="V19" s="21" t="e">
        <f>VLOOKUP(A5,[1]เกษียณ!B4:EV15,69,0)</f>
        <v>#N/A</v>
      </c>
      <c r="W19" s="21" t="e">
        <f>VLOOKUP(A5,[1]เกษียณ!B4:EV15,70,0)</f>
        <v>#N/A</v>
      </c>
      <c r="X19" s="21" t="e">
        <f>VLOOKUP(A5,[1]เกษียณ!B4:EV15,71,0)</f>
        <v>#N/A</v>
      </c>
      <c r="Y19" s="22"/>
      <c r="Z19" s="22"/>
      <c r="AA19" s="22"/>
      <c r="AB19" s="22"/>
      <c r="AC19" s="22"/>
      <c r="AD19" s="19" t="e">
        <f t="shared" si="0"/>
        <v>#N/A</v>
      </c>
      <c r="AE19" s="23">
        <f t="shared" si="9"/>
        <v>0</v>
      </c>
      <c r="AF19" s="23" t="e">
        <f>K19+AD19</f>
        <v>#N/A</v>
      </c>
      <c r="AG19" s="23" t="e">
        <f t="shared" ref="AG19:AG42" si="14">(AF19/5)+AE19</f>
        <v>#N/A</v>
      </c>
      <c r="AH19" s="24"/>
      <c r="AI19" s="24"/>
      <c r="AJ19" s="25">
        <f t="shared" si="11"/>
        <v>0</v>
      </c>
      <c r="AK19" s="24"/>
      <c r="AL19" s="24"/>
      <c r="AM19" s="25">
        <f t="shared" si="7"/>
        <v>0</v>
      </c>
      <c r="AN19" s="25">
        <f t="shared" si="13"/>
        <v>0</v>
      </c>
      <c r="AO19" s="25"/>
      <c r="AP19" s="26" t="e">
        <f>J19-AD19-(AE19*5)+AM19</f>
        <v>#N/A</v>
      </c>
      <c r="AQ19" s="27" t="e">
        <f>D19-AP19</f>
        <v>#N/A</v>
      </c>
      <c r="AR19" s="34" t="e">
        <f>AP19/D19*100</f>
        <v>#N/A</v>
      </c>
    </row>
    <row r="20" spans="1:44" ht="18.75" x14ac:dyDescent="0.2">
      <c r="A20" s="1"/>
      <c r="B20" s="15">
        <v>12</v>
      </c>
      <c r="C20" s="32" t="s">
        <v>53</v>
      </c>
      <c r="D20" s="16" t="e">
        <f>VLOOKUP(A5,'[1]กรอบ '!$A$5:$Z$16,12,0)</f>
        <v>#N/A</v>
      </c>
      <c r="E20" s="17" t="e">
        <f>VLOOKUP(A5,[1]ตำแหน่ง!B5:GE16,77,0)</f>
        <v>#N/A</v>
      </c>
      <c r="F20" s="17" t="e">
        <f>VLOOKUP(A5,[1]ตำแหน่ง!B5:GE16,78,0)</f>
        <v>#N/A</v>
      </c>
      <c r="G20" s="17" t="e">
        <f>VLOOKUP(A5,[1]ตำแหน่ง!B5:GE16,79,0)</f>
        <v>#N/A</v>
      </c>
      <c r="H20" s="17" t="e">
        <f>VLOOKUP(A5,[1]ตำแหน่ง!B5:GE16,80,0)</f>
        <v>#N/A</v>
      </c>
      <c r="I20" s="17" t="e">
        <f>VLOOKUP(A5,[1]ตำแหน่ง!B5:GE16,81,0)</f>
        <v>#N/A</v>
      </c>
      <c r="J20" s="18" t="e">
        <f t="shared" si="3"/>
        <v>#N/A</v>
      </c>
      <c r="K20" s="19" t="e">
        <f>D20-E20</f>
        <v>#N/A</v>
      </c>
      <c r="L20" s="17" t="e">
        <f>VLOOKUP(A5,[1]คนจริง!B5:GE16,77,0)</f>
        <v>#N/A</v>
      </c>
      <c r="M20" s="17" t="e">
        <f>VLOOKUP(A5,[1]คนจริง!B5:GE16,78,0)</f>
        <v>#N/A</v>
      </c>
      <c r="N20" s="17" t="e">
        <f>VLOOKUP(A5,[1]คนจริง!B5:GE16,79,0)</f>
        <v>#N/A</v>
      </c>
      <c r="O20" s="17" t="e">
        <f>VLOOKUP(A5,[1]คนจริง!B5:GE16,80,0)</f>
        <v>#N/A</v>
      </c>
      <c r="P20" s="17" t="e">
        <f>VLOOKUP(A5,[1]คนจริง!B5:GE16,81,0)</f>
        <v>#N/A</v>
      </c>
      <c r="Q20" s="18" t="e">
        <f t="shared" si="5"/>
        <v>#N/A</v>
      </c>
      <c r="R20" s="46" t="e">
        <f>D20-Q20</f>
        <v>#N/A</v>
      </c>
      <c r="S20" s="20" t="e">
        <f t="shared" si="6"/>
        <v>#N/A</v>
      </c>
      <c r="T20" s="21" t="e">
        <f>VLOOKUP(A5,[1]เกษียณ!B4:EV15,72,0)</f>
        <v>#N/A</v>
      </c>
      <c r="U20" s="21" t="e">
        <f>VLOOKUP(A5,[1]เกษียณ!B4:EV15,73,0)</f>
        <v>#N/A</v>
      </c>
      <c r="V20" s="21" t="e">
        <f>VLOOKUP(A5,[1]เกษียณ!B4:EV15,74,0)</f>
        <v>#N/A</v>
      </c>
      <c r="W20" s="21" t="e">
        <f>VLOOKUP(A5,[1]เกษียณ!B4:EV15,75,0)</f>
        <v>#N/A</v>
      </c>
      <c r="X20" s="21" t="e">
        <f>VLOOKUP(A5,[1]เกษียณ!B4:EV15,76,0)</f>
        <v>#N/A</v>
      </c>
      <c r="Y20" s="22"/>
      <c r="Z20" s="22"/>
      <c r="AA20" s="22"/>
      <c r="AB20" s="22"/>
      <c r="AC20" s="22"/>
      <c r="AD20" s="19" t="e">
        <f t="shared" si="0"/>
        <v>#N/A</v>
      </c>
      <c r="AE20" s="23">
        <f t="shared" si="9"/>
        <v>0</v>
      </c>
      <c r="AF20" s="23" t="e">
        <f>K20+AD20</f>
        <v>#N/A</v>
      </c>
      <c r="AG20" s="23" t="e">
        <f t="shared" si="14"/>
        <v>#N/A</v>
      </c>
      <c r="AH20" s="24"/>
      <c r="AI20" s="24"/>
      <c r="AJ20" s="25">
        <f t="shared" si="11"/>
        <v>0</v>
      </c>
      <c r="AK20" s="24"/>
      <c r="AL20" s="24"/>
      <c r="AM20" s="25">
        <f t="shared" si="7"/>
        <v>0</v>
      </c>
      <c r="AN20" s="25">
        <f t="shared" si="13"/>
        <v>0</v>
      </c>
      <c r="AO20" s="25">
        <f t="shared" ref="AO20:AO25" si="15">AL20/5</f>
        <v>0</v>
      </c>
      <c r="AP20" s="25" t="e">
        <f>J20-AD20-(AE20*5)+AM20</f>
        <v>#N/A</v>
      </c>
      <c r="AQ20" s="27" t="e">
        <f>D20-AP20</f>
        <v>#N/A</v>
      </c>
      <c r="AR20" s="34" t="e">
        <f>AP20/D20*100</f>
        <v>#N/A</v>
      </c>
    </row>
    <row r="21" spans="1:44" ht="18.75" x14ac:dyDescent="0.2">
      <c r="A21" s="1"/>
      <c r="B21" s="85">
        <v>13</v>
      </c>
      <c r="C21" s="32" t="s">
        <v>54</v>
      </c>
      <c r="D21" s="88" t="e">
        <f>VLOOKUP(A5,'[1]กรอบ '!$A$5:$Z$16,13,0)</f>
        <v>#N/A</v>
      </c>
      <c r="E21" s="33" t="e">
        <f>VLOOKUP(A5,[1]ตำแหน่ง!B5:GE16,82,0)</f>
        <v>#N/A</v>
      </c>
      <c r="F21" s="33" t="e">
        <f>VLOOKUP(A5,[1]ตำแหน่ง!B5:GE16,83,0)</f>
        <v>#N/A</v>
      </c>
      <c r="G21" s="33" t="e">
        <f>VLOOKUP(A5,[1]ตำแหน่ง!B5:GE16,84,0)</f>
        <v>#N/A</v>
      </c>
      <c r="H21" s="33" t="e">
        <f>VLOOKUP(A5,[1]ตำแหน่ง!B5:GE16,85,0)</f>
        <v>#N/A</v>
      </c>
      <c r="I21" s="33" t="e">
        <f>VLOOKUP(A5,[1]ตำแหน่ง!B5:GE16,86,0)</f>
        <v>#N/A</v>
      </c>
      <c r="J21" s="18" t="e">
        <f t="shared" si="3"/>
        <v>#N/A</v>
      </c>
      <c r="K21" s="89" t="e">
        <f>D21-(E21+E22)</f>
        <v>#N/A</v>
      </c>
      <c r="L21" s="33" t="e">
        <f>VLOOKUP(A5,[1]คนจริง!B5:GE16,82,0)</f>
        <v>#N/A</v>
      </c>
      <c r="M21" s="33" t="e">
        <f>VLOOKUP(A5,[1]คนจริง!B5:GE16,83,0)</f>
        <v>#N/A</v>
      </c>
      <c r="N21" s="33" t="e">
        <f>VLOOKUP(A5,[1]คนจริง!B5:GE16,84,0)</f>
        <v>#N/A</v>
      </c>
      <c r="O21" s="33" t="e">
        <f>VLOOKUP(A5,[1]คนจริง!B5:GE16,85,0)</f>
        <v>#N/A</v>
      </c>
      <c r="P21" s="33" t="e">
        <f>VLOOKUP(A5,[1]คนจริง!B5:GE16,86,0)</f>
        <v>#N/A</v>
      </c>
      <c r="Q21" s="50" t="e">
        <f t="shared" si="5"/>
        <v>#N/A</v>
      </c>
      <c r="R21" s="46" t="e">
        <f>D21-(Q21+Q22)</f>
        <v>#N/A</v>
      </c>
      <c r="S21" s="20" t="e">
        <f t="shared" si="6"/>
        <v>#N/A</v>
      </c>
      <c r="T21" s="21" t="e">
        <f>VLOOKUP(A5,[1]เกษียณ!B4:EV15,77,0)</f>
        <v>#N/A</v>
      </c>
      <c r="U21" s="21" t="e">
        <f>VLOOKUP(A5,[1]เกษียณ!B4:EV15,78,0)</f>
        <v>#N/A</v>
      </c>
      <c r="V21" s="21" t="e">
        <f>VLOOKUP(A5,[1]เกษียณ!B4:EV15,79,0)</f>
        <v>#N/A</v>
      </c>
      <c r="W21" s="21" t="e">
        <f>VLOOKUP(A5,[1]เกษียณ!B4:EV15,80,0)</f>
        <v>#N/A</v>
      </c>
      <c r="X21" s="21" t="e">
        <f>VLOOKUP(A5,[1]เกษียณ!B4:EV15,81,0)</f>
        <v>#N/A</v>
      </c>
      <c r="Y21" s="22"/>
      <c r="Z21" s="22"/>
      <c r="AA21" s="22"/>
      <c r="AB21" s="22"/>
      <c r="AC21" s="22"/>
      <c r="AD21" s="19" t="e">
        <f t="shared" si="0"/>
        <v>#N/A</v>
      </c>
      <c r="AE21" s="23">
        <f t="shared" si="9"/>
        <v>0</v>
      </c>
      <c r="AF21" s="23" t="e">
        <f>K21+AD21+AD22</f>
        <v>#N/A</v>
      </c>
      <c r="AG21" s="39" t="e">
        <f>SUM(AE21:AE22)+AF21/5</f>
        <v>#N/A</v>
      </c>
      <c r="AH21" s="24"/>
      <c r="AI21" s="24"/>
      <c r="AJ21" s="25">
        <f t="shared" si="11"/>
        <v>0</v>
      </c>
      <c r="AK21" s="24"/>
      <c r="AL21" s="24"/>
      <c r="AM21" s="25">
        <f t="shared" si="7"/>
        <v>0</v>
      </c>
      <c r="AN21" s="25">
        <f t="shared" si="13"/>
        <v>0</v>
      </c>
      <c r="AO21" s="25">
        <f t="shared" si="15"/>
        <v>0</v>
      </c>
      <c r="AP21" s="26" t="e">
        <f>(J21+J22)-SUM(AD21:AD22)-SUM(AE21:AE22)/5+SUM(AM21:AM22)</f>
        <v>#N/A</v>
      </c>
      <c r="AQ21" s="27" t="e">
        <f>D21-AP21</f>
        <v>#N/A</v>
      </c>
      <c r="AR21" s="28" t="e">
        <f>AP21/D21*100</f>
        <v>#N/A</v>
      </c>
    </row>
    <row r="22" spans="1:44" ht="18.75" x14ac:dyDescent="0.2">
      <c r="A22" s="1"/>
      <c r="B22" s="87"/>
      <c r="C22" s="32" t="s">
        <v>55</v>
      </c>
      <c r="D22" s="88"/>
      <c r="E22" s="33" t="e">
        <f>VLOOKUP(A5,[1]ตำแหน่ง!B5:GE16,87,0)</f>
        <v>#N/A</v>
      </c>
      <c r="F22" s="33" t="e">
        <f>VLOOKUP(A5,[1]ตำแหน่ง!B5:GE16,88,0)</f>
        <v>#N/A</v>
      </c>
      <c r="G22" s="33" t="e">
        <f>VLOOKUP(A5,[1]ตำแหน่ง!B5:GE16,89,0)</f>
        <v>#N/A</v>
      </c>
      <c r="H22" s="33" t="e">
        <f>VLOOKUP(A5,[1]ตำแหน่ง!B5:GE16,90,0)</f>
        <v>#N/A</v>
      </c>
      <c r="I22" s="33" t="e">
        <f>VLOOKUP(A5,[1]ตำแหน่ง!B5:GE16,91,0)</f>
        <v>#N/A</v>
      </c>
      <c r="J22" s="18" t="e">
        <f t="shared" si="3"/>
        <v>#N/A</v>
      </c>
      <c r="K22" s="91"/>
      <c r="L22" s="33" t="e">
        <f>VLOOKUP(A5,[1]คนจริง!B5:GE16,87,0)</f>
        <v>#N/A</v>
      </c>
      <c r="M22" s="33" t="e">
        <f>VLOOKUP(A5,[1]คนจริง!B5:GE16,88,0)</f>
        <v>#N/A</v>
      </c>
      <c r="N22" s="33" t="e">
        <f>VLOOKUP(A5,[1]คนจริง!B5:GE16,89,0)</f>
        <v>#N/A</v>
      </c>
      <c r="O22" s="33" t="e">
        <f>VLOOKUP(A5,[1]คนจริง!B5:GE16,90,0)</f>
        <v>#N/A</v>
      </c>
      <c r="P22" s="33" t="e">
        <f>VLOOKUP(A5,[1]คนจริง!B5:GE16,91,0)</f>
        <v>#N/A</v>
      </c>
      <c r="Q22" s="50" t="e">
        <f t="shared" si="5"/>
        <v>#N/A</v>
      </c>
      <c r="R22" s="43"/>
      <c r="S22" s="20" t="e">
        <f t="shared" si="6"/>
        <v>#N/A</v>
      </c>
      <c r="T22" s="21" t="e">
        <f>VLOOKUP(A5,[1]เกษียณ!B4:EV15,82,0)</f>
        <v>#N/A</v>
      </c>
      <c r="U22" s="21" t="e">
        <f>VLOOKUP(A5,[1]เกษียณ!B4:EV15,83,0)</f>
        <v>#N/A</v>
      </c>
      <c r="V22" s="21" t="e">
        <f>VLOOKUP(A5,[1]เกษียณ!B4:EV15,84,0)</f>
        <v>#N/A</v>
      </c>
      <c r="W22" s="21" t="e">
        <f>VLOOKUP(A5,[1]เกษียณ!B4:EV15,85,0)</f>
        <v>#N/A</v>
      </c>
      <c r="X22" s="21" t="e">
        <f>VLOOKUP(A5,[1]เกษียณ!B4:EV15,86,0)</f>
        <v>#N/A</v>
      </c>
      <c r="Y22" s="22"/>
      <c r="Z22" s="22"/>
      <c r="AA22" s="22"/>
      <c r="AB22" s="22"/>
      <c r="AC22" s="22"/>
      <c r="AD22" s="19" t="e">
        <f t="shared" si="0"/>
        <v>#N/A</v>
      </c>
      <c r="AE22" s="23">
        <f t="shared" si="9"/>
        <v>0</v>
      </c>
      <c r="AF22" s="23"/>
      <c r="AG22" s="23"/>
      <c r="AH22" s="24"/>
      <c r="AI22" s="24"/>
      <c r="AJ22" s="25">
        <f t="shared" si="11"/>
        <v>0</v>
      </c>
      <c r="AK22" s="24"/>
      <c r="AL22" s="24"/>
      <c r="AM22" s="25">
        <f t="shared" si="7"/>
        <v>0</v>
      </c>
      <c r="AN22" s="25">
        <f t="shared" si="13"/>
        <v>0</v>
      </c>
      <c r="AO22" s="25">
        <f t="shared" si="15"/>
        <v>0</v>
      </c>
      <c r="AP22" s="25"/>
      <c r="AQ22" s="27"/>
      <c r="AR22" s="34"/>
    </row>
    <row r="23" spans="1:44" ht="37.5" x14ac:dyDescent="0.2">
      <c r="A23" s="1"/>
      <c r="B23" s="15">
        <v>14</v>
      </c>
      <c r="C23" s="30" t="s">
        <v>56</v>
      </c>
      <c r="D23" s="19" t="e">
        <f>VLOOKUP(A5,'[1]กรอบ '!$A$5:$Z$16,14,0)</f>
        <v>#N/A</v>
      </c>
      <c r="E23" s="17" t="e">
        <f>VLOOKUP(A5,[1]ตำแหน่ง!B5:GE16,92,0)</f>
        <v>#N/A</v>
      </c>
      <c r="F23" s="17" t="e">
        <f>VLOOKUP(A5,[1]ตำแหน่ง!B5:GE16,93,0)</f>
        <v>#N/A</v>
      </c>
      <c r="G23" s="17" t="e">
        <f>VLOOKUP(A5,[1]ตำแหน่ง!B5:GE16,94,0)</f>
        <v>#N/A</v>
      </c>
      <c r="H23" s="17" t="e">
        <f>VLOOKUP(A5,[1]ตำแหน่ง!B5:GE16,95,0)</f>
        <v>#N/A</v>
      </c>
      <c r="I23" s="17" t="e">
        <f>VLOOKUP(A5,[1]ตำแหน่ง!B5:GE16,96,0)</f>
        <v>#N/A</v>
      </c>
      <c r="J23" s="18" t="e">
        <f t="shared" si="3"/>
        <v>#N/A</v>
      </c>
      <c r="K23" s="19" t="e">
        <f>D23-E23</f>
        <v>#N/A</v>
      </c>
      <c r="L23" s="17" t="e">
        <f>VLOOKUP(A5,[1]คนจริง!B5:GE16,92,0)</f>
        <v>#N/A</v>
      </c>
      <c r="M23" s="17" t="e">
        <f>VLOOKUP(A5,[1]คนจริง!B5:GE16,93,0)</f>
        <v>#N/A</v>
      </c>
      <c r="N23" s="17" t="e">
        <f>VLOOKUP(A5,[1]คนจริง!B5:GE16,94,0)</f>
        <v>#N/A</v>
      </c>
      <c r="O23" s="17" t="e">
        <f>VLOOKUP(A5,[1]คนจริง!B5:GE16,95,0)</f>
        <v>#N/A</v>
      </c>
      <c r="P23" s="17" t="e">
        <f>VLOOKUP(A5,[1]คนจริง!B5:GE16,96,0)</f>
        <v>#N/A</v>
      </c>
      <c r="Q23" s="18" t="e">
        <f t="shared" si="5"/>
        <v>#N/A</v>
      </c>
      <c r="R23" s="54" t="e">
        <f>D23-Q23</f>
        <v>#N/A</v>
      </c>
      <c r="S23" s="20" t="e">
        <f t="shared" si="6"/>
        <v>#N/A</v>
      </c>
      <c r="T23" s="21" t="e">
        <f>VLOOKUP(A5,[1]เกษียณ!B4:EV15,87,0)</f>
        <v>#N/A</v>
      </c>
      <c r="U23" s="21" t="e">
        <f>VLOOKUP(A5,[1]เกษียณ!B4:EV15,88,0)</f>
        <v>#N/A</v>
      </c>
      <c r="V23" s="21" t="e">
        <f>VLOOKUP(A5,[1]เกษียณ!B4:EV15,89,0)</f>
        <v>#N/A</v>
      </c>
      <c r="W23" s="21" t="e">
        <f>VLOOKUP(A5,[1]เกษียณ!B4:EV15,90,0)</f>
        <v>#N/A</v>
      </c>
      <c r="X23" s="21" t="e">
        <f>VLOOKUP(A5,[1]เกษียณ!B4:EV15,91,0)</f>
        <v>#N/A</v>
      </c>
      <c r="Y23" s="22"/>
      <c r="Z23" s="22"/>
      <c r="AA23" s="22"/>
      <c r="AB23" s="22"/>
      <c r="AC23" s="22"/>
      <c r="AD23" s="19" t="e">
        <f t="shared" si="0"/>
        <v>#N/A</v>
      </c>
      <c r="AE23" s="23">
        <f t="shared" si="9"/>
        <v>0</v>
      </c>
      <c r="AF23" s="23" t="e">
        <f>K23+AD23</f>
        <v>#N/A</v>
      </c>
      <c r="AG23" s="23" t="e">
        <f t="shared" si="14"/>
        <v>#N/A</v>
      </c>
      <c r="AH23" s="24"/>
      <c r="AI23" s="24"/>
      <c r="AJ23" s="25">
        <f t="shared" si="11"/>
        <v>0</v>
      </c>
      <c r="AK23" s="24"/>
      <c r="AL23" s="24"/>
      <c r="AM23" s="25">
        <f t="shared" si="7"/>
        <v>0</v>
      </c>
      <c r="AN23" s="25">
        <f t="shared" si="13"/>
        <v>0</v>
      </c>
      <c r="AO23" s="25">
        <f t="shared" si="15"/>
        <v>0</v>
      </c>
      <c r="AP23" s="25" t="e">
        <f>J23-AD23-(AE23*5)+AM23</f>
        <v>#N/A</v>
      </c>
      <c r="AQ23" s="27" t="e">
        <f>D23-AP23</f>
        <v>#N/A</v>
      </c>
      <c r="AR23" s="28" t="e">
        <f>AP23/D23*100</f>
        <v>#N/A</v>
      </c>
    </row>
    <row r="24" spans="1:44" ht="18.75" x14ac:dyDescent="0.2">
      <c r="A24" s="1"/>
      <c r="B24" s="15">
        <v>15</v>
      </c>
      <c r="C24" s="32" t="s">
        <v>57</v>
      </c>
      <c r="D24" s="16" t="e">
        <f>VLOOKUP(A5,'[1]กรอบ '!$A$5:$Z$16,15,0)</f>
        <v>#N/A</v>
      </c>
      <c r="E24" s="17" t="e">
        <f>VLOOKUP(A5,[1]ตำแหน่ง!B5:GE16,97,0)</f>
        <v>#N/A</v>
      </c>
      <c r="F24" s="17" t="e">
        <f>VLOOKUP(A5,[1]ตำแหน่ง!B5:GE16,98,0)</f>
        <v>#N/A</v>
      </c>
      <c r="G24" s="17" t="e">
        <f>VLOOKUP(A5,[1]ตำแหน่ง!B5:GE16,99,0)</f>
        <v>#N/A</v>
      </c>
      <c r="H24" s="17" t="e">
        <f>VLOOKUP(A5,[1]ตำแหน่ง!B5:GE16,100,0)</f>
        <v>#N/A</v>
      </c>
      <c r="I24" s="17" t="e">
        <f>VLOOKUP(A5,[1]ตำแหน่ง!B5:GE16,101,0)</f>
        <v>#N/A</v>
      </c>
      <c r="J24" s="18" t="e">
        <f t="shared" si="3"/>
        <v>#N/A</v>
      </c>
      <c r="K24" s="19" t="e">
        <f>D24-E24</f>
        <v>#N/A</v>
      </c>
      <c r="L24" s="17" t="e">
        <f>VLOOKUP(A5,[1]คนจริง!B5:GE16,97,0)</f>
        <v>#N/A</v>
      </c>
      <c r="M24" s="17" t="e">
        <f>VLOOKUP(A5,[1]คนจริง!B5:GE16,98,0)</f>
        <v>#N/A</v>
      </c>
      <c r="N24" s="17" t="e">
        <f>VLOOKUP(A5,[1]คนจริง!B5:GE16,99,0)</f>
        <v>#N/A</v>
      </c>
      <c r="O24" s="17" t="e">
        <f>VLOOKUP(A5,[1]คนจริง!B5:GE16,100,0)</f>
        <v>#N/A</v>
      </c>
      <c r="P24" s="17" t="e">
        <f>VLOOKUP(A5,[1]คนจริง!B5:GE16,101,0)</f>
        <v>#N/A</v>
      </c>
      <c r="Q24" s="18" t="e">
        <f t="shared" si="5"/>
        <v>#N/A</v>
      </c>
      <c r="R24" s="23" t="e">
        <f>D24-Q24</f>
        <v>#N/A</v>
      </c>
      <c r="S24" s="20" t="e">
        <f t="shared" si="6"/>
        <v>#N/A</v>
      </c>
      <c r="T24" s="38"/>
      <c r="U24" s="38"/>
      <c r="V24" s="38"/>
      <c r="W24" s="38"/>
      <c r="X24" s="38"/>
      <c r="Y24" s="22"/>
      <c r="Z24" s="22"/>
      <c r="AA24" s="22"/>
      <c r="AB24" s="22"/>
      <c r="AC24" s="22"/>
      <c r="AD24" s="19">
        <f t="shared" si="0"/>
        <v>0</v>
      </c>
      <c r="AE24" s="23">
        <f t="shared" si="9"/>
        <v>0</v>
      </c>
      <c r="AF24" s="23" t="e">
        <f>K24+AD24</f>
        <v>#N/A</v>
      </c>
      <c r="AG24" s="23" t="e">
        <f t="shared" si="14"/>
        <v>#N/A</v>
      </c>
      <c r="AH24" s="24"/>
      <c r="AI24" s="24"/>
      <c r="AJ24" s="25">
        <f t="shared" si="11"/>
        <v>0</v>
      </c>
      <c r="AK24" s="24"/>
      <c r="AL24" s="24"/>
      <c r="AM24" s="25">
        <f t="shared" si="7"/>
        <v>0</v>
      </c>
      <c r="AN24" s="25">
        <f t="shared" si="13"/>
        <v>0</v>
      </c>
      <c r="AO24" s="25">
        <f t="shared" si="15"/>
        <v>0</v>
      </c>
      <c r="AP24" s="25" t="e">
        <f>J24-AD24-(AE24*5)+AM24</f>
        <v>#N/A</v>
      </c>
      <c r="AQ24" s="27" t="e">
        <f>D24-AP24</f>
        <v>#N/A</v>
      </c>
      <c r="AR24" s="28" t="e">
        <f>AP24/D24*100</f>
        <v>#N/A</v>
      </c>
    </row>
    <row r="25" spans="1:44" ht="18.75" x14ac:dyDescent="0.2">
      <c r="A25" s="1"/>
      <c r="B25" s="15"/>
      <c r="C25" s="32" t="s">
        <v>58</v>
      </c>
      <c r="D25" s="16" t="e">
        <f>VLOOKUP(A5,'[1]กรอบ '!$A$5:$Z$16,16,0)</f>
        <v>#N/A</v>
      </c>
      <c r="E25" s="17" t="e">
        <f>VLOOKUP(A5,[1]ตำแหน่ง!B5:GE16,102,0)</f>
        <v>#N/A</v>
      </c>
      <c r="F25" s="17" t="e">
        <f>VLOOKUP(A5,[1]ตำแหน่ง!B5:GE16,103,0)</f>
        <v>#N/A</v>
      </c>
      <c r="G25" s="17" t="e">
        <f>VLOOKUP(A5,[1]ตำแหน่ง!B5:GE16,104,0)</f>
        <v>#N/A</v>
      </c>
      <c r="H25" s="17" t="e">
        <f>VLOOKUP(A5,[1]ตำแหน่ง!B5:GE16,105,0)</f>
        <v>#N/A</v>
      </c>
      <c r="I25" s="17" t="e">
        <f>VLOOKUP(A5,[1]ตำแหน่ง!B5:GE16,106,0)</f>
        <v>#N/A</v>
      </c>
      <c r="J25" s="18" t="e">
        <f t="shared" si="3"/>
        <v>#N/A</v>
      </c>
      <c r="K25" s="19" t="e">
        <f>D25-E25</f>
        <v>#N/A</v>
      </c>
      <c r="L25" s="17" t="e">
        <f>VLOOKUP(A5,[1]คนจริง!B5:GE16,102,0)</f>
        <v>#N/A</v>
      </c>
      <c r="M25" s="17" t="e">
        <f>VLOOKUP(A5,[1]คนจริง!B5:GE16,103,0)</f>
        <v>#N/A</v>
      </c>
      <c r="N25" s="17" t="e">
        <f>VLOOKUP(A5,[1]คนจริง!B5:GE16,104,0)</f>
        <v>#N/A</v>
      </c>
      <c r="O25" s="17" t="e">
        <f>VLOOKUP(A5,[1]คนจริง!B5:GE16,105,0)</f>
        <v>#N/A</v>
      </c>
      <c r="P25" s="17" t="e">
        <f>VLOOKUP(A5,[1]คนจริง!B5:GE16,106,0)</f>
        <v>#N/A</v>
      </c>
      <c r="Q25" s="18" t="e">
        <f t="shared" si="5"/>
        <v>#N/A</v>
      </c>
      <c r="R25" s="23" t="e">
        <f>D25-Q25</f>
        <v>#N/A</v>
      </c>
      <c r="S25" s="20" t="e">
        <f t="shared" si="6"/>
        <v>#N/A</v>
      </c>
      <c r="T25" s="21" t="e">
        <f>VLOOKUP(A5,[1]เกษียณ!B4:EV15,92,0)</f>
        <v>#N/A</v>
      </c>
      <c r="U25" s="21" t="e">
        <f>VLOOKUP(A5,[1]เกษียณ!B4:EV15,93,0)</f>
        <v>#N/A</v>
      </c>
      <c r="V25" s="21" t="e">
        <f>VLOOKUP(A5,[1]เกษียณ!B4:EV15,94,0)</f>
        <v>#N/A</v>
      </c>
      <c r="W25" s="21" t="e">
        <f>VLOOKUP(A5,[1]เกษียณ!B4:EV15,95,0)</f>
        <v>#N/A</v>
      </c>
      <c r="X25" s="21" t="e">
        <f>VLOOKUP(A5,[1]เกษียณ!B4:EV15,96,0)</f>
        <v>#N/A</v>
      </c>
      <c r="Y25" s="22"/>
      <c r="Z25" s="22"/>
      <c r="AA25" s="22"/>
      <c r="AB25" s="22"/>
      <c r="AC25" s="22"/>
      <c r="AD25" s="19" t="e">
        <f t="shared" si="0"/>
        <v>#N/A</v>
      </c>
      <c r="AE25" s="23">
        <f t="shared" si="9"/>
        <v>0</v>
      </c>
      <c r="AF25" s="23" t="e">
        <f>K25+AD25</f>
        <v>#N/A</v>
      </c>
      <c r="AG25" s="23" t="e">
        <f t="shared" si="14"/>
        <v>#N/A</v>
      </c>
      <c r="AH25" s="24"/>
      <c r="AI25" s="24"/>
      <c r="AJ25" s="25">
        <f t="shared" si="11"/>
        <v>0</v>
      </c>
      <c r="AK25" s="24"/>
      <c r="AL25" s="56"/>
      <c r="AM25" s="25">
        <f t="shared" si="7"/>
        <v>0</v>
      </c>
      <c r="AN25" s="25">
        <f t="shared" si="13"/>
        <v>0</v>
      </c>
      <c r="AO25" s="25">
        <f t="shared" si="15"/>
        <v>0</v>
      </c>
      <c r="AP25" s="25" t="e">
        <f>J25-AD25-(AE25*5)+AM25</f>
        <v>#N/A</v>
      </c>
      <c r="AQ25" s="27" t="e">
        <f>D25-AP25</f>
        <v>#N/A</v>
      </c>
      <c r="AR25" s="28" t="e">
        <f>AP25/D25*100</f>
        <v>#N/A</v>
      </c>
    </row>
    <row r="26" spans="1:44" ht="18.75" x14ac:dyDescent="0.2">
      <c r="A26" s="1"/>
      <c r="B26" s="15">
        <v>16</v>
      </c>
      <c r="C26" s="32" t="s">
        <v>59</v>
      </c>
      <c r="D26" s="19" t="e">
        <f>VLOOKUP(A5,'[1]กรอบ '!$A$5:$Z$16,17,0)</f>
        <v>#N/A</v>
      </c>
      <c r="E26" s="17" t="e">
        <f>VLOOKUP(A5,[1]ตำแหน่ง!B5:GE16,107,0)</f>
        <v>#N/A</v>
      </c>
      <c r="F26" s="17" t="e">
        <f>VLOOKUP(A5,[1]ตำแหน่ง!B5:GE16,108,0)</f>
        <v>#N/A</v>
      </c>
      <c r="G26" s="17" t="e">
        <f>VLOOKUP(A5,[1]ตำแหน่ง!B5:GE16,109,0)</f>
        <v>#N/A</v>
      </c>
      <c r="H26" s="17" t="e">
        <f>VLOOKUP(A5,[1]ตำแหน่ง!B5:GE16,110,0)</f>
        <v>#N/A</v>
      </c>
      <c r="I26" s="17" t="e">
        <f>VLOOKUP(A5,[1]ตำแหน่ง!B5:GE16,111,0)</f>
        <v>#N/A</v>
      </c>
      <c r="J26" s="18" t="e">
        <f>SUM(E26:I26)</f>
        <v>#N/A</v>
      </c>
      <c r="K26" s="19" t="e">
        <f>D26-E26</f>
        <v>#N/A</v>
      </c>
      <c r="L26" s="17" t="e">
        <f>VLOOKUP(A5,[1]คนจริง!B5:GE16,107,0)</f>
        <v>#N/A</v>
      </c>
      <c r="M26" s="17" t="e">
        <f>VLOOKUP(A5,[1]คนจริง!B5:GE16,108,0)</f>
        <v>#N/A</v>
      </c>
      <c r="N26" s="17" t="e">
        <f>VLOOKUP(A5,[1]คนจริง!B5:GE16,109,0)</f>
        <v>#N/A</v>
      </c>
      <c r="O26" s="17" t="e">
        <f>VLOOKUP(A5,[1]คนจริง!B5:GE16,110,0)</f>
        <v>#N/A</v>
      </c>
      <c r="P26" s="17" t="e">
        <f>VLOOKUP(A5,[1]คนจริง!B5:GE16,111,0)</f>
        <v>#N/A</v>
      </c>
      <c r="Q26" s="18" t="e">
        <f t="shared" si="5"/>
        <v>#N/A</v>
      </c>
      <c r="R26" s="23" t="e">
        <f>D26-Q26</f>
        <v>#N/A</v>
      </c>
      <c r="S26" s="20" t="e">
        <f t="shared" si="6"/>
        <v>#N/A</v>
      </c>
      <c r="T26" s="21" t="e">
        <f>VLOOKUP(A5,[1]เกษียณ!B4:EV15,97,0)</f>
        <v>#N/A</v>
      </c>
      <c r="U26" s="21" t="e">
        <f>VLOOKUP(A5,[1]เกษียณ!B4:EV15,98,0)</f>
        <v>#N/A</v>
      </c>
      <c r="V26" s="21" t="e">
        <f>VLOOKUP(A5,[1]เกษียณ!B4:EV15,99,0)</f>
        <v>#N/A</v>
      </c>
      <c r="W26" s="21" t="e">
        <f>VLOOKUP(A5,[1]เกษียณ!B4:EV15,100,0)</f>
        <v>#N/A</v>
      </c>
      <c r="X26" s="21" t="e">
        <f>VLOOKUP(A5,[1]เกษียณ!B4:EV15,101,0)</f>
        <v>#N/A</v>
      </c>
      <c r="Y26" s="22"/>
      <c r="Z26" s="22"/>
      <c r="AA26" s="22"/>
      <c r="AB26" s="22"/>
      <c r="AC26" s="22"/>
      <c r="AD26" s="19" t="e">
        <f t="shared" si="0"/>
        <v>#N/A</v>
      </c>
      <c r="AE26" s="23">
        <f t="shared" si="9"/>
        <v>0</v>
      </c>
      <c r="AF26" s="23" t="e">
        <f>K26+AD26</f>
        <v>#N/A</v>
      </c>
      <c r="AG26" s="35" t="e">
        <f t="shared" si="14"/>
        <v>#N/A</v>
      </c>
      <c r="AH26" s="24"/>
      <c r="AI26" s="24"/>
      <c r="AJ26" s="25">
        <f t="shared" si="11"/>
        <v>0</v>
      </c>
      <c r="AK26" s="24"/>
      <c r="AL26" s="24"/>
      <c r="AM26" s="25">
        <f t="shared" si="7"/>
        <v>0</v>
      </c>
      <c r="AN26" s="25">
        <f t="shared" si="13"/>
        <v>0</v>
      </c>
      <c r="AO26" s="25">
        <f>AL26/5</f>
        <v>0</v>
      </c>
      <c r="AP26" s="25" t="e">
        <f>J26-AD26-(AE26*5)+AM26</f>
        <v>#N/A</v>
      </c>
      <c r="AQ26" s="27" t="e">
        <f>D26-AP26</f>
        <v>#N/A</v>
      </c>
      <c r="AR26" s="28" t="e">
        <f>AP26/D26*100</f>
        <v>#N/A</v>
      </c>
    </row>
    <row r="27" spans="1:44" ht="18.75" x14ac:dyDescent="0.2">
      <c r="A27" s="1"/>
      <c r="B27" s="15">
        <v>17</v>
      </c>
      <c r="C27" s="32" t="s">
        <v>60</v>
      </c>
      <c r="D27" s="95" t="e">
        <f>VLOOKUP(A5,'[1]กรอบ '!$A$5:$Z$16,18,0)</f>
        <v>#N/A</v>
      </c>
      <c r="E27" s="17" t="e">
        <f>VLOOKUP(A5,[1]ตำแหน่ง!B5:GE16,112,0)</f>
        <v>#N/A</v>
      </c>
      <c r="F27" s="17" t="e">
        <f>VLOOKUP(A5,[1]ตำแหน่ง!B5:GE16,113,0)</f>
        <v>#N/A</v>
      </c>
      <c r="G27" s="17" t="e">
        <f>VLOOKUP(A5,[1]ตำแหน่ง!B5:GE16,114,0)</f>
        <v>#N/A</v>
      </c>
      <c r="H27" s="17" t="e">
        <f>VLOOKUP(A5,[1]ตำแหน่ง!B5:GE16,115,0)</f>
        <v>#N/A</v>
      </c>
      <c r="I27" s="17" t="e">
        <f>VLOOKUP(A5,[1]ตำแหน่ง!B5:GE16,116,0)</f>
        <v>#N/A</v>
      </c>
      <c r="J27" s="18" t="e">
        <f>SUM(E27:I27)</f>
        <v>#N/A</v>
      </c>
      <c r="K27" s="89" t="e">
        <f>D27-(E27+E28)</f>
        <v>#N/A</v>
      </c>
      <c r="L27" s="17" t="e">
        <f>VLOOKUP(A5,[1]คนจริง!B5:GE16,112,0)</f>
        <v>#N/A</v>
      </c>
      <c r="M27" s="17" t="e">
        <f>VLOOKUP(A5,[1]คนจริง!B5:GE16,113,0)</f>
        <v>#N/A</v>
      </c>
      <c r="N27" s="17" t="e">
        <f>VLOOKUP(A5,[1]คนจริง!B5:GE16,114,0)</f>
        <v>#N/A</v>
      </c>
      <c r="O27" s="17" t="e">
        <f>VLOOKUP(A5,[1]คนจริง!B5:GE16,115,0)</f>
        <v>#N/A</v>
      </c>
      <c r="P27" s="17" t="e">
        <f>VLOOKUP(A5,[1]คนจริง!B5:GE16,116,0)</f>
        <v>#N/A</v>
      </c>
      <c r="Q27" s="18" t="e">
        <f t="shared" si="5"/>
        <v>#N/A</v>
      </c>
      <c r="R27" s="15"/>
      <c r="S27" s="20" t="e">
        <f t="shared" si="6"/>
        <v>#N/A</v>
      </c>
      <c r="T27" s="38"/>
      <c r="U27" s="38"/>
      <c r="V27" s="38"/>
      <c r="W27" s="38"/>
      <c r="X27" s="38"/>
      <c r="Y27" s="22"/>
      <c r="Z27" s="22"/>
      <c r="AA27" s="22"/>
      <c r="AB27" s="22"/>
      <c r="AC27" s="22"/>
      <c r="AD27" s="19">
        <f t="shared" si="0"/>
        <v>0</v>
      </c>
      <c r="AE27" s="23">
        <f t="shared" si="9"/>
        <v>0</v>
      </c>
      <c r="AF27" s="92" t="e">
        <f>K27+AD27+AD28</f>
        <v>#N/A</v>
      </c>
      <c r="AG27" s="39" t="e">
        <f>SUM(AE27:AE28)+AF27/5</f>
        <v>#N/A</v>
      </c>
      <c r="AH27" s="47"/>
      <c r="AI27" s="24"/>
      <c r="AJ27" s="25">
        <f t="shared" si="11"/>
        <v>0</v>
      </c>
      <c r="AK27" s="24"/>
      <c r="AL27" s="24"/>
      <c r="AM27" s="25">
        <f t="shared" si="7"/>
        <v>0</v>
      </c>
      <c r="AN27" s="25">
        <f t="shared" si="13"/>
        <v>0</v>
      </c>
      <c r="AO27" s="25"/>
      <c r="AP27" s="26" t="e">
        <f>(J27+J28)-SUM(AD27:AD28)-SUM(AE27:AE28)/5+SUM(AM27:AM28)</f>
        <v>#N/A</v>
      </c>
      <c r="AQ27" s="27" t="e">
        <f>D27-AP27</f>
        <v>#N/A</v>
      </c>
      <c r="AR27" s="34" t="e">
        <f>AP27/D27*100</f>
        <v>#N/A</v>
      </c>
    </row>
    <row r="28" spans="1:44" ht="18.75" x14ac:dyDescent="0.2">
      <c r="A28" s="1"/>
      <c r="B28" s="15"/>
      <c r="C28" s="30" t="s">
        <v>61</v>
      </c>
      <c r="D28" s="96"/>
      <c r="E28" s="17" t="e">
        <f>VLOOKUP(A5,[1]ตำแหน่ง!B5:GE16,117,0)</f>
        <v>#N/A</v>
      </c>
      <c r="F28" s="17" t="e">
        <f>VLOOKUP(A5,[1]ตำแหน่ง!B5:GE16,118,0)</f>
        <v>#N/A</v>
      </c>
      <c r="G28" s="17" t="e">
        <f>VLOOKUP(A5,[1]ตำแหน่ง!B5:GE16,119,0)</f>
        <v>#N/A</v>
      </c>
      <c r="H28" s="17" t="e">
        <f>VLOOKUP(A5,[1]ตำแหน่ง!B5:GE16,120,0)</f>
        <v>#N/A</v>
      </c>
      <c r="I28" s="17" t="e">
        <f>VLOOKUP(A5,[1]ตำแหน่ง!B5:GE16,121,0)</f>
        <v>#N/A</v>
      </c>
      <c r="J28" s="18" t="e">
        <f t="shared" si="3"/>
        <v>#N/A</v>
      </c>
      <c r="K28" s="91"/>
      <c r="L28" s="17" t="e">
        <f>VLOOKUP(A5,[1]คนจริง!B5:GE16,117,0)</f>
        <v>#N/A</v>
      </c>
      <c r="M28" s="17" t="e">
        <f>VLOOKUP(A5,[1]คนจริง!B5:GE16,118,0)</f>
        <v>#N/A</v>
      </c>
      <c r="N28" s="17" t="e">
        <f>VLOOKUP(A5,[1]คนจริง!B5:GE16,119,0)</f>
        <v>#N/A</v>
      </c>
      <c r="O28" s="17" t="e">
        <f>VLOOKUP(A5,[1]คนจริง!B5:GE16,120,0)</f>
        <v>#N/A</v>
      </c>
      <c r="P28" s="17" t="e">
        <f>VLOOKUP(A5,[1]คนจริง!B5:GE16,121,0)</f>
        <v>#N/A</v>
      </c>
      <c r="Q28" s="18" t="e">
        <f t="shared" si="5"/>
        <v>#N/A</v>
      </c>
      <c r="R28" s="20" t="e">
        <f>D27-Q28</f>
        <v>#N/A</v>
      </c>
      <c r="S28" s="20" t="e">
        <f t="shared" si="6"/>
        <v>#N/A</v>
      </c>
      <c r="T28" s="38"/>
      <c r="U28" s="38"/>
      <c r="V28" s="38"/>
      <c r="W28" s="38"/>
      <c r="X28" s="38"/>
      <c r="Y28" s="22"/>
      <c r="Z28" s="22"/>
      <c r="AA28" s="22"/>
      <c r="AB28" s="22"/>
      <c r="AC28" s="22"/>
      <c r="AD28" s="19">
        <f t="shared" si="0"/>
        <v>0</v>
      </c>
      <c r="AE28" s="23">
        <f t="shared" si="9"/>
        <v>0</v>
      </c>
      <c r="AF28" s="94"/>
      <c r="AG28" s="54"/>
      <c r="AH28" s="47"/>
      <c r="AI28" s="24"/>
      <c r="AJ28" s="25">
        <f t="shared" si="11"/>
        <v>0</v>
      </c>
      <c r="AK28" s="24"/>
      <c r="AL28" s="24"/>
      <c r="AM28" s="25">
        <f t="shared" si="7"/>
        <v>0</v>
      </c>
      <c r="AN28" s="25">
        <f t="shared" si="13"/>
        <v>0</v>
      </c>
      <c r="AO28" s="25"/>
      <c r="AP28" s="25"/>
      <c r="AQ28" s="27"/>
      <c r="AR28" s="34"/>
    </row>
    <row r="29" spans="1:44" ht="18.75" x14ac:dyDescent="0.2">
      <c r="A29" s="1"/>
      <c r="B29" s="36">
        <v>18</v>
      </c>
      <c r="C29" s="32" t="s">
        <v>62</v>
      </c>
      <c r="D29" s="88" t="e">
        <f>VLOOKUP(A5,'[1]กรอบ '!$A$5:$Z$16,19,0)</f>
        <v>#N/A</v>
      </c>
      <c r="E29" s="17" t="e">
        <f>VLOOKUP(A5,[1]ตำแหน่ง!B5:GE16,122,0)</f>
        <v>#N/A</v>
      </c>
      <c r="F29" s="17" t="e">
        <f>VLOOKUP(A5,[1]ตำแหน่ง!B5:GE16,123,0)</f>
        <v>#N/A</v>
      </c>
      <c r="G29" s="17" t="e">
        <f>VLOOKUP(A5,[1]ตำแหน่ง!B5:GE16,124,0)</f>
        <v>#N/A</v>
      </c>
      <c r="H29" s="17" t="e">
        <f>VLOOKUP(A5,[1]ตำแหน่ง!B5:GE16,125,0)</f>
        <v>#N/A</v>
      </c>
      <c r="I29" s="17" t="e">
        <f>VLOOKUP(A5,[1]ตำแหน่ง!B5:GE16,126,0)</f>
        <v>#N/A</v>
      </c>
      <c r="J29" s="18" t="e">
        <f t="shared" si="3"/>
        <v>#N/A</v>
      </c>
      <c r="K29" s="89" t="e">
        <f>D29-(E29+E30)</f>
        <v>#N/A</v>
      </c>
      <c r="L29" s="17" t="e">
        <f>VLOOKUP(A5,[1]คนจริง!B5:GE16,122,0)</f>
        <v>#N/A</v>
      </c>
      <c r="M29" s="17" t="e">
        <f>VLOOKUP(A5,[1]คนจริง!B5:GE16,123,0)</f>
        <v>#N/A</v>
      </c>
      <c r="N29" s="17" t="e">
        <f>VLOOKUP(A5,[1]คนจริง!B5:GE16,124,0)</f>
        <v>#N/A</v>
      </c>
      <c r="O29" s="17" t="e">
        <f>VLOOKUP(A5,[1]คนจริง!B5:GE16,125,0)</f>
        <v>#N/A</v>
      </c>
      <c r="P29" s="17" t="e">
        <f>VLOOKUP(A5,[1]คนจริง!B5:GE16,126,0)</f>
        <v>#N/A</v>
      </c>
      <c r="Q29" s="18" t="e">
        <f t="shared" si="5"/>
        <v>#N/A</v>
      </c>
      <c r="R29" s="20" t="e">
        <f>D29-(Q29+Q30)</f>
        <v>#N/A</v>
      </c>
      <c r="S29" s="20" t="e">
        <f t="shared" si="6"/>
        <v>#N/A</v>
      </c>
      <c r="T29" s="21" t="e">
        <f>VLOOKUP(A5,[1]เกษียณ!B4:EV15,102,0)</f>
        <v>#N/A</v>
      </c>
      <c r="U29" s="21" t="e">
        <f>VLOOKUP(A5,[1]เกษียณ!B4:EV15,103,0)</f>
        <v>#N/A</v>
      </c>
      <c r="V29" s="21" t="e">
        <f>VLOOKUP(A5,[1]เกษียณ!B4:EV15,104,0)</f>
        <v>#N/A</v>
      </c>
      <c r="W29" s="21" t="e">
        <f>VLOOKUP(A5,[1]เกษียณ!B4:EV15,105,0)</f>
        <v>#N/A</v>
      </c>
      <c r="X29" s="21" t="e">
        <f>VLOOKUP(A5,[1]เกษียณ!B4:EV15,106,0)</f>
        <v>#N/A</v>
      </c>
      <c r="Y29" s="22"/>
      <c r="Z29" s="22"/>
      <c r="AA29" s="22"/>
      <c r="AB29" s="22"/>
      <c r="AC29" s="22"/>
      <c r="AD29" s="19" t="e">
        <f t="shared" si="0"/>
        <v>#N/A</v>
      </c>
      <c r="AE29" s="23">
        <f t="shared" si="9"/>
        <v>0</v>
      </c>
      <c r="AF29" s="83" t="e">
        <f>K29+AD29+AD30</f>
        <v>#N/A</v>
      </c>
      <c r="AG29" s="39" t="e">
        <f>SUM(AE29:AE30)+AF29/5</f>
        <v>#N/A</v>
      </c>
      <c r="AH29" s="24"/>
      <c r="AI29" s="24"/>
      <c r="AJ29" s="25">
        <f t="shared" si="11"/>
        <v>0</v>
      </c>
      <c r="AK29" s="24"/>
      <c r="AL29" s="24"/>
      <c r="AM29" s="25">
        <f t="shared" si="7"/>
        <v>0</v>
      </c>
      <c r="AN29" s="25">
        <f t="shared" si="13"/>
        <v>0</v>
      </c>
      <c r="AO29" s="25">
        <f>AL29/5</f>
        <v>0</v>
      </c>
      <c r="AP29" s="26" t="e">
        <f>(J29+J30)-SUM(AD29:AD30)-SUM(AE29:AE30)/5+SUM(AM29:AM30)</f>
        <v>#N/A</v>
      </c>
      <c r="AQ29" s="27" t="e">
        <f>D29-AP29</f>
        <v>#N/A</v>
      </c>
      <c r="AR29" s="34" t="e">
        <f>AP29/D29*100</f>
        <v>#N/A</v>
      </c>
    </row>
    <row r="30" spans="1:44" ht="18.75" x14ac:dyDescent="0.2">
      <c r="A30" s="1"/>
      <c r="B30" s="43">
        <v>19</v>
      </c>
      <c r="C30" s="30" t="s">
        <v>63</v>
      </c>
      <c r="D30" s="88"/>
      <c r="E30" s="17" t="e">
        <f>VLOOKUP(A5,[1]ตำแหน่ง!B5:GE16,127,0)</f>
        <v>#N/A</v>
      </c>
      <c r="F30" s="17" t="e">
        <f>VLOOKUP(A5,[1]ตำแหน่ง!B5:GE16,128,0)</f>
        <v>#N/A</v>
      </c>
      <c r="G30" s="17" t="e">
        <f>VLOOKUP(A5,[1]ตำแหน่ง!B5:GE16,129,0)</f>
        <v>#N/A</v>
      </c>
      <c r="H30" s="17" t="e">
        <f>VLOOKUP(A5,[1]ตำแหน่ง!B5:GE16,130,0)</f>
        <v>#N/A</v>
      </c>
      <c r="I30" s="17" t="e">
        <f>VLOOKUP(A5,[1]ตำแหน่ง!B5:GE16,131,0)</f>
        <v>#N/A</v>
      </c>
      <c r="J30" s="18" t="e">
        <f t="shared" si="3"/>
        <v>#N/A</v>
      </c>
      <c r="K30" s="91"/>
      <c r="L30" s="17" t="e">
        <f>VLOOKUP(A5,[1]คนจริง!B5:GE16,127,0)</f>
        <v>#N/A</v>
      </c>
      <c r="M30" s="17" t="e">
        <f>VLOOKUP(A5,[1]คนจริง!B5:GE16,128,0)</f>
        <v>#N/A</v>
      </c>
      <c r="N30" s="17" t="e">
        <f>VLOOKUP(A5,[1]คนจริง!B5:GE16,129,0)</f>
        <v>#N/A</v>
      </c>
      <c r="O30" s="17" t="e">
        <f>VLOOKUP(A5,[1]คนจริง!B5:GE16,130,0)</f>
        <v>#N/A</v>
      </c>
      <c r="P30" s="17" t="e">
        <f>VLOOKUP(A5,[1]คนจริง!B5:GE16,131,0)</f>
        <v>#N/A</v>
      </c>
      <c r="Q30" s="18" t="e">
        <f t="shared" si="5"/>
        <v>#N/A</v>
      </c>
      <c r="R30" s="15"/>
      <c r="S30" s="20" t="e">
        <f t="shared" si="6"/>
        <v>#N/A</v>
      </c>
      <c r="T30" s="21" t="e">
        <f>VLOOKUP(A5,[1]เกษียณ!B4:EV15,107,0)</f>
        <v>#N/A</v>
      </c>
      <c r="U30" s="21" t="e">
        <f>VLOOKUP(A5,[1]เกษียณ!B4:EV15,108,0)</f>
        <v>#N/A</v>
      </c>
      <c r="V30" s="21" t="e">
        <f>VLOOKUP(A5,[1]เกษียณ!B4:EV15,109,0)</f>
        <v>#N/A</v>
      </c>
      <c r="W30" s="21" t="e">
        <f>VLOOKUP(A5,[1]เกษียณ!B4:EV15,110,0)</f>
        <v>#N/A</v>
      </c>
      <c r="X30" s="21" t="e">
        <f>VLOOKUP(A5,[1]เกษียณ!B4:EV15,111,0)</f>
        <v>#N/A</v>
      </c>
      <c r="Y30" s="22"/>
      <c r="Z30" s="22"/>
      <c r="AA30" s="22"/>
      <c r="AB30" s="22"/>
      <c r="AC30" s="22"/>
      <c r="AD30" s="19" t="e">
        <f t="shared" si="0"/>
        <v>#N/A</v>
      </c>
      <c r="AE30" s="23">
        <f t="shared" si="9"/>
        <v>0</v>
      </c>
      <c r="AF30" s="84"/>
      <c r="AG30" s="54"/>
      <c r="AH30" s="24"/>
      <c r="AI30" s="24"/>
      <c r="AJ30" s="25">
        <f t="shared" si="11"/>
        <v>0</v>
      </c>
      <c r="AK30" s="24"/>
      <c r="AL30" s="24"/>
      <c r="AM30" s="25">
        <f t="shared" si="7"/>
        <v>0</v>
      </c>
      <c r="AN30" s="25">
        <f t="shared" si="13"/>
        <v>0</v>
      </c>
      <c r="AO30" s="25">
        <f>AL30/5</f>
        <v>0</v>
      </c>
      <c r="AP30" s="25"/>
      <c r="AQ30" s="27"/>
      <c r="AR30" s="34"/>
    </row>
    <row r="31" spans="1:44" ht="18.75" x14ac:dyDescent="0.2">
      <c r="A31" s="1"/>
      <c r="B31" s="85">
        <v>20</v>
      </c>
      <c r="C31" s="32" t="s">
        <v>64</v>
      </c>
      <c r="D31" s="88" t="e">
        <f>VLOOKUP(A5,'[1]กรอบ '!$A$5:$Z$16,20,0)</f>
        <v>#N/A</v>
      </c>
      <c r="E31" s="17" t="e">
        <f>VLOOKUP(A5,[1]ตำแหน่ง!B5:GE16,132,0)</f>
        <v>#N/A</v>
      </c>
      <c r="F31" s="17" t="e">
        <f>VLOOKUP(A5,[1]ตำแหน่ง!B5:GE16,133,0)</f>
        <v>#N/A</v>
      </c>
      <c r="G31" s="17" t="e">
        <f>VLOOKUP(A5,[1]ตำแหน่ง!B5:GE16,134,0)</f>
        <v>#N/A</v>
      </c>
      <c r="H31" s="17" t="e">
        <f>VLOOKUP(A5,[1]ตำแหน่ง!B5:GE16,135,0)</f>
        <v>#N/A</v>
      </c>
      <c r="I31" s="17" t="e">
        <f>VLOOKUP(A5,[1]ตำแหน่ง!B5:GE16,136,0)</f>
        <v>#N/A</v>
      </c>
      <c r="J31" s="18" t="e">
        <f t="shared" si="3"/>
        <v>#N/A</v>
      </c>
      <c r="K31" s="89" t="e">
        <f>D31-(E31+E32)</f>
        <v>#N/A</v>
      </c>
      <c r="L31" s="17" t="e">
        <f>VLOOKUP(A5,[1]คนจริง!B5:GE16,132,0)</f>
        <v>#N/A</v>
      </c>
      <c r="M31" s="17" t="e">
        <f>VLOOKUP(A5,[1]คนจริง!B5:GE16,133,0)</f>
        <v>#N/A</v>
      </c>
      <c r="N31" s="17" t="e">
        <f>VLOOKUP(A5,[1]คนจริง!B5:GE16,134,0)</f>
        <v>#N/A</v>
      </c>
      <c r="O31" s="17" t="e">
        <f>VLOOKUP(A5,[1]คนจริง!B5:GE16,135,0)</f>
        <v>#N/A</v>
      </c>
      <c r="P31" s="17" t="e">
        <f>VLOOKUP(A5,[1]คนจริง!B5:GE16,136,0)</f>
        <v>#N/A</v>
      </c>
      <c r="Q31" s="18" t="e">
        <f t="shared" si="5"/>
        <v>#N/A</v>
      </c>
      <c r="R31" s="20" t="e">
        <f>D31-(Q31+Q32)</f>
        <v>#N/A</v>
      </c>
      <c r="S31" s="20" t="e">
        <f t="shared" si="6"/>
        <v>#N/A</v>
      </c>
      <c r="T31" s="21" t="e">
        <f>VLOOKUP(A5,[1]เกษียณ!B4:EV15,112,0)</f>
        <v>#N/A</v>
      </c>
      <c r="U31" s="21" t="e">
        <f>VLOOKUP(A5,[1]เกษียณ!B4:EV15,113,0)</f>
        <v>#N/A</v>
      </c>
      <c r="V31" s="21" t="e">
        <f>VLOOKUP(A5,[1]เกษียณ!B4:EV15,114,0)</f>
        <v>#N/A</v>
      </c>
      <c r="W31" s="21" t="e">
        <f>VLOOKUP(A5,[1]เกษียณ!B4:EV15,115,0)</f>
        <v>#N/A</v>
      </c>
      <c r="X31" s="21" t="e">
        <f>VLOOKUP(A5,[1]เกษียณ!B4:EV15,116,0)</f>
        <v>#N/A</v>
      </c>
      <c r="Y31" s="22"/>
      <c r="Z31" s="22"/>
      <c r="AA31" s="22"/>
      <c r="AB31" s="22"/>
      <c r="AC31" s="22"/>
      <c r="AD31" s="19" t="e">
        <f t="shared" si="0"/>
        <v>#N/A</v>
      </c>
      <c r="AE31" s="23">
        <f t="shared" si="9"/>
        <v>0</v>
      </c>
      <c r="AF31" s="23" t="e">
        <f>K31+AD31+AD32</f>
        <v>#N/A</v>
      </c>
      <c r="AG31" s="39" t="e">
        <f>SUM(AE31:AE32)+AF31/5</f>
        <v>#N/A</v>
      </c>
      <c r="AH31" s="24"/>
      <c r="AI31" s="24"/>
      <c r="AJ31" s="25">
        <f t="shared" si="11"/>
        <v>0</v>
      </c>
      <c r="AK31" s="24"/>
      <c r="AL31" s="24"/>
      <c r="AM31" s="25">
        <f t="shared" si="7"/>
        <v>0</v>
      </c>
      <c r="AN31" s="25">
        <f t="shared" si="13"/>
        <v>0</v>
      </c>
      <c r="AO31" s="25">
        <f>AL31/5</f>
        <v>0</v>
      </c>
      <c r="AP31" s="26" t="e">
        <f>(J31+J32)-SUM(AD31:AD32)-SUM(AE31:AE32)/5+SUM(AM31:AM32)</f>
        <v>#N/A</v>
      </c>
      <c r="AQ31" s="27" t="e">
        <f>D31-AP31</f>
        <v>#N/A</v>
      </c>
      <c r="AR31" s="34" t="e">
        <f>AP31/D31*100</f>
        <v>#N/A</v>
      </c>
    </row>
    <row r="32" spans="1:44" ht="18.75" x14ac:dyDescent="0.2">
      <c r="A32" s="1"/>
      <c r="B32" s="87"/>
      <c r="C32" s="32" t="s">
        <v>65</v>
      </c>
      <c r="D32" s="88"/>
      <c r="E32" s="17" t="e">
        <f>VLOOKUP(A5,[1]ตำแหน่ง!B5:GE16,137,0)</f>
        <v>#N/A</v>
      </c>
      <c r="F32" s="17" t="e">
        <f>VLOOKUP(A5,[1]ตำแหน่ง!B5:GE16,138,0)</f>
        <v>#N/A</v>
      </c>
      <c r="G32" s="17" t="e">
        <f>VLOOKUP(A5,[1]ตำแหน่ง!B5:GE16,139,0)</f>
        <v>#N/A</v>
      </c>
      <c r="H32" s="17" t="e">
        <f>VLOOKUP(A5,[1]ตำแหน่ง!B5:GE16,140,0)</f>
        <v>#N/A</v>
      </c>
      <c r="I32" s="17" t="e">
        <f>VLOOKUP(A5,[1]ตำแหน่ง!B5:GE16,141,0)</f>
        <v>#N/A</v>
      </c>
      <c r="J32" s="18" t="e">
        <f t="shared" si="3"/>
        <v>#N/A</v>
      </c>
      <c r="K32" s="91"/>
      <c r="L32" s="17" t="e">
        <f>VLOOKUP(A5,[1]คนจริง!B5:GE16,137,0)</f>
        <v>#N/A</v>
      </c>
      <c r="M32" s="17" t="e">
        <f>VLOOKUP(A5,[1]คนจริง!B5:GE16,138,0)</f>
        <v>#N/A</v>
      </c>
      <c r="N32" s="17" t="e">
        <f>VLOOKUP(A5,[1]คนจริง!B5:GE16,139,0)</f>
        <v>#N/A</v>
      </c>
      <c r="O32" s="17" t="e">
        <f>VLOOKUP(A5,[1]คนจริง!B5:GE16,140,0)</f>
        <v>#N/A</v>
      </c>
      <c r="P32" s="17" t="e">
        <f>VLOOKUP(A5,[1]คนจริง!B5:GE16,141,0)</f>
        <v>#N/A</v>
      </c>
      <c r="Q32" s="18" t="e">
        <f t="shared" si="5"/>
        <v>#N/A</v>
      </c>
      <c r="R32" s="15"/>
      <c r="S32" s="20" t="e">
        <f t="shared" si="6"/>
        <v>#N/A</v>
      </c>
      <c r="T32" s="21" t="e">
        <f>VLOOKUP(A5,[1]เกษียณ!B4:EV15,117,0)</f>
        <v>#N/A</v>
      </c>
      <c r="U32" s="21" t="e">
        <f>VLOOKUP(A5,[1]เกษียณ!B4:EV15,118,0)</f>
        <v>#N/A</v>
      </c>
      <c r="V32" s="21" t="e">
        <f>VLOOKUP(A5,[1]เกษียณ!B4:EV15,119,0)</f>
        <v>#N/A</v>
      </c>
      <c r="W32" s="21" t="e">
        <f>VLOOKUP(A5,[1]เกษียณ!B4:EV15,120,0)</f>
        <v>#N/A</v>
      </c>
      <c r="X32" s="21" t="e">
        <f>VLOOKUP(A5,[1]เกษียณ!B4:EV15,121,0)</f>
        <v>#N/A</v>
      </c>
      <c r="Y32" s="22"/>
      <c r="Z32" s="22"/>
      <c r="AA32" s="22"/>
      <c r="AB32" s="22"/>
      <c r="AC32" s="22"/>
      <c r="AD32" s="19" t="e">
        <f t="shared" si="0"/>
        <v>#N/A</v>
      </c>
      <c r="AE32" s="23">
        <f t="shared" si="9"/>
        <v>0</v>
      </c>
      <c r="AF32" s="23"/>
      <c r="AG32" s="54"/>
      <c r="AH32" s="24"/>
      <c r="AI32" s="24"/>
      <c r="AJ32" s="25">
        <f t="shared" si="11"/>
        <v>0</v>
      </c>
      <c r="AK32" s="24"/>
      <c r="AL32" s="24"/>
      <c r="AM32" s="25">
        <f t="shared" si="7"/>
        <v>0</v>
      </c>
      <c r="AN32" s="25">
        <f t="shared" si="13"/>
        <v>0</v>
      </c>
      <c r="AO32" s="25"/>
      <c r="AP32" s="25"/>
      <c r="AQ32" s="27"/>
      <c r="AR32" s="34"/>
    </row>
    <row r="33" spans="1:44" ht="18.75" x14ac:dyDescent="0.2">
      <c r="A33" s="1"/>
      <c r="B33" s="15">
        <v>21</v>
      </c>
      <c r="C33" s="32" t="s">
        <v>66</v>
      </c>
      <c r="D33" s="89" t="e">
        <f>VLOOKUP(A5,'[1]กรอบ '!$A$5:$Z$16,21,0)</f>
        <v>#N/A</v>
      </c>
      <c r="E33" s="17" t="e">
        <f>VLOOKUP(A5,[1]ตำแหน่ง!B5:GE16,142,0)</f>
        <v>#N/A</v>
      </c>
      <c r="F33" s="17" t="e">
        <f>VLOOKUP(A5,[1]ตำแหน่ง!B5:GE16,143,0)</f>
        <v>#N/A</v>
      </c>
      <c r="G33" s="17" t="e">
        <f>VLOOKUP(A5,[1]ตำแหน่ง!B5:GE16,144,0)</f>
        <v>#N/A</v>
      </c>
      <c r="H33" s="17" t="e">
        <f>VLOOKUP(A5,[1]ตำแหน่ง!B5:GE16,145,0)</f>
        <v>#N/A</v>
      </c>
      <c r="I33" s="17" t="e">
        <f>VLOOKUP(A5,[1]ตำแหน่ง!B5:GE16,146,0)</f>
        <v>#N/A</v>
      </c>
      <c r="J33" s="18" t="e">
        <f t="shared" si="3"/>
        <v>#N/A</v>
      </c>
      <c r="K33" s="89" t="e">
        <f>D33-(E33+E34)</f>
        <v>#N/A</v>
      </c>
      <c r="L33" s="17" t="e">
        <f>VLOOKUP(A5,[1]คนจริง!B5:GE16,142,0)</f>
        <v>#N/A</v>
      </c>
      <c r="M33" s="17" t="e">
        <f>VLOOKUP(A5,[1]คนจริง!B5:GE16,143,0)</f>
        <v>#N/A</v>
      </c>
      <c r="N33" s="17" t="e">
        <f>VLOOKUP(A5,[1]คนจริง!B5:GE16,144,0)</f>
        <v>#N/A</v>
      </c>
      <c r="O33" s="17" t="e">
        <f>VLOOKUP(A5,[1]คนจริง!B5:GE16,145,0)</f>
        <v>#N/A</v>
      </c>
      <c r="P33" s="17" t="e">
        <f>VLOOKUP(A5,[1]คนจริง!B5:GE16,146,0)</f>
        <v>#N/A</v>
      </c>
      <c r="Q33" s="18" t="e">
        <f t="shared" si="5"/>
        <v>#N/A</v>
      </c>
      <c r="R33" s="23" t="e">
        <f>D33-(Q33+Q34)</f>
        <v>#N/A</v>
      </c>
      <c r="S33" s="20" t="e">
        <f t="shared" si="6"/>
        <v>#N/A</v>
      </c>
      <c r="T33" s="38"/>
      <c r="U33" s="38"/>
      <c r="V33" s="38"/>
      <c r="W33" s="38"/>
      <c r="X33" s="38"/>
      <c r="Y33" s="22"/>
      <c r="Z33" s="22"/>
      <c r="AA33" s="22"/>
      <c r="AB33" s="22"/>
      <c r="AC33" s="22"/>
      <c r="AD33" s="19">
        <f t="shared" si="0"/>
        <v>0</v>
      </c>
      <c r="AE33" s="23">
        <f t="shared" si="9"/>
        <v>0</v>
      </c>
      <c r="AF33" s="23" t="e">
        <f>K33+AD33+AD34</f>
        <v>#N/A</v>
      </c>
      <c r="AG33" s="39" t="e">
        <f>SUM(AE33:AE34)+AF33/5</f>
        <v>#N/A</v>
      </c>
      <c r="AH33" s="24"/>
      <c r="AI33" s="24"/>
      <c r="AJ33" s="25">
        <f t="shared" si="11"/>
        <v>0</v>
      </c>
      <c r="AK33" s="24"/>
      <c r="AL33" s="24"/>
      <c r="AM33" s="25">
        <f t="shared" si="7"/>
        <v>0</v>
      </c>
      <c r="AN33" s="25">
        <f t="shared" si="13"/>
        <v>0</v>
      </c>
      <c r="AO33" s="25">
        <f>AL33/5</f>
        <v>0</v>
      </c>
      <c r="AP33" s="26" t="e">
        <f>(J33+J34)-SUM(AD33:AD34)-SUM(AE33:AE34)/5+SUM(AM33:AM34)</f>
        <v>#N/A</v>
      </c>
      <c r="AQ33" s="27" t="e">
        <f>D33-AP33</f>
        <v>#N/A</v>
      </c>
      <c r="AR33" s="34" t="e">
        <f>AP33/D33*100</f>
        <v>#N/A</v>
      </c>
    </row>
    <row r="34" spans="1:44" ht="18.75" x14ac:dyDescent="0.2">
      <c r="A34" s="1"/>
      <c r="B34" s="15"/>
      <c r="C34" s="32" t="s">
        <v>67</v>
      </c>
      <c r="D34" s="91"/>
      <c r="E34" s="17" t="e">
        <f>VLOOKUP(A5,[1]ตำแหน่ง!B5:GE16,147,0)</f>
        <v>#N/A</v>
      </c>
      <c r="F34" s="17" t="e">
        <f>VLOOKUP(A5,[1]ตำแหน่ง!B5:GE16,148,0)</f>
        <v>#N/A</v>
      </c>
      <c r="G34" s="17" t="e">
        <f>VLOOKUP(A5,[1]ตำแหน่ง!B5:GE16,149,0)</f>
        <v>#N/A</v>
      </c>
      <c r="H34" s="17" t="e">
        <f>VLOOKUP(A5,[1]ตำแหน่ง!B5:GE16,150,0)</f>
        <v>#N/A</v>
      </c>
      <c r="I34" s="17" t="e">
        <f>VLOOKUP(A5,[1]ตำแหน่ง!B5:GE16,151,0)</f>
        <v>#N/A</v>
      </c>
      <c r="J34" s="18" t="e">
        <f t="shared" si="3"/>
        <v>#N/A</v>
      </c>
      <c r="K34" s="91"/>
      <c r="L34" s="17" t="e">
        <f>VLOOKUP(A5,[1]คนจริง!B5:GE16,147,0)</f>
        <v>#N/A</v>
      </c>
      <c r="M34" s="17" t="e">
        <f>VLOOKUP(A5,[1]คนจริง!B5:GE16,148,0)</f>
        <v>#N/A</v>
      </c>
      <c r="N34" s="17" t="e">
        <f>VLOOKUP(A5,[1]คนจริง!B5:GE16,149,0)</f>
        <v>#N/A</v>
      </c>
      <c r="O34" s="17" t="e">
        <f>VLOOKUP(A5,[1]คนจริง!B5:GE16,150,0)</f>
        <v>#N/A</v>
      </c>
      <c r="P34" s="17" t="e">
        <f>VLOOKUP(A5,[1]คนจริง!B5:GE16,151,0)</f>
        <v>#N/A</v>
      </c>
      <c r="Q34" s="18" t="e">
        <f t="shared" si="5"/>
        <v>#N/A</v>
      </c>
      <c r="R34" s="15"/>
      <c r="S34" s="20" t="e">
        <f t="shared" si="6"/>
        <v>#N/A</v>
      </c>
      <c r="T34" s="21" t="e">
        <f>VLOOKUP(A5,[1]เกษียณ!B4:EV15,122,0)</f>
        <v>#N/A</v>
      </c>
      <c r="U34" s="21" t="e">
        <f>VLOOKUP(A5,[1]เกษียณ!B4:EV15,123,0)</f>
        <v>#N/A</v>
      </c>
      <c r="V34" s="21" t="e">
        <f>VLOOKUP(A5,[1]เกษียณ!B4:EV15,124,0)</f>
        <v>#N/A</v>
      </c>
      <c r="W34" s="21" t="e">
        <f>VLOOKUP(A5,[1]เกษียณ!B4:EV15,125,0)</f>
        <v>#N/A</v>
      </c>
      <c r="X34" s="21" t="e">
        <f>VLOOKUP(A5,[1]เกษียณ!B4:EV15,126,0)</f>
        <v>#N/A</v>
      </c>
      <c r="Y34" s="22"/>
      <c r="Z34" s="22"/>
      <c r="AA34" s="22"/>
      <c r="AB34" s="22"/>
      <c r="AC34" s="22"/>
      <c r="AD34" s="19" t="e">
        <f t="shared" si="0"/>
        <v>#N/A</v>
      </c>
      <c r="AE34" s="23">
        <f t="shared" si="9"/>
        <v>0</v>
      </c>
      <c r="AF34" s="23"/>
      <c r="AG34" s="54"/>
      <c r="AH34" s="24"/>
      <c r="AI34" s="24"/>
      <c r="AJ34" s="25">
        <f t="shared" si="11"/>
        <v>0</v>
      </c>
      <c r="AK34" s="24"/>
      <c r="AL34" s="24"/>
      <c r="AM34" s="25">
        <f t="shared" si="7"/>
        <v>0</v>
      </c>
      <c r="AN34" s="25">
        <f t="shared" si="13"/>
        <v>0</v>
      </c>
      <c r="AO34" s="25"/>
      <c r="AP34" s="25"/>
      <c r="AQ34" s="27"/>
      <c r="AR34" s="34"/>
    </row>
    <row r="35" spans="1:44" ht="18.75" x14ac:dyDescent="0.2">
      <c r="A35" s="1"/>
      <c r="B35" s="15"/>
      <c r="C35" s="32" t="s">
        <v>68</v>
      </c>
      <c r="D35" s="19" t="e">
        <f>VLOOKUP(A5,'[1]กรอบ '!$A$5:$Z$16,22,0)</f>
        <v>#N/A</v>
      </c>
      <c r="E35" s="17" t="e">
        <f>VLOOKUP(A5,[1]ตำแหน่ง!B5:GE16,152,0)</f>
        <v>#N/A</v>
      </c>
      <c r="F35" s="17" t="e">
        <f>VLOOKUP(A5,[1]ตำแหน่ง!B5:GE16,153,0)</f>
        <v>#N/A</v>
      </c>
      <c r="G35" s="17" t="e">
        <f>VLOOKUP(A5,[1]ตำแหน่ง!B5:GE16,154,0)</f>
        <v>#N/A</v>
      </c>
      <c r="H35" s="17" t="e">
        <f>VLOOKUP(A5,[1]ตำแหน่ง!B5:GE16,155,0)</f>
        <v>#N/A</v>
      </c>
      <c r="I35" s="17" t="e">
        <f>VLOOKUP(A5,[1]ตำแหน่ง!B5:GE16,156,0)</f>
        <v>#N/A</v>
      </c>
      <c r="J35" s="18" t="e">
        <f t="shared" si="3"/>
        <v>#N/A</v>
      </c>
      <c r="K35" s="19" t="e">
        <f>D35-E35</f>
        <v>#N/A</v>
      </c>
      <c r="L35" s="17" t="e">
        <f>VLOOKUP(A5,[1]คนจริง!B5:GE16,152,0)</f>
        <v>#N/A</v>
      </c>
      <c r="M35" s="17" t="e">
        <f>VLOOKUP(A5,[1]คนจริง!B5:GE16,153,0)</f>
        <v>#N/A</v>
      </c>
      <c r="N35" s="17" t="e">
        <f>VLOOKUP(A5,[1]คนจริง!B5:GE16,154,0)</f>
        <v>#N/A</v>
      </c>
      <c r="O35" s="17" t="e">
        <f>VLOOKUP(A5,[1]คนจริง!B5:GE16,155,0)</f>
        <v>#N/A</v>
      </c>
      <c r="P35" s="17" t="e">
        <f>VLOOKUP(A5,[1]คนจริง!B5:GE16,156,0)</f>
        <v>#N/A</v>
      </c>
      <c r="Q35" s="18" t="e">
        <f t="shared" si="5"/>
        <v>#N/A</v>
      </c>
      <c r="R35" s="23" t="e">
        <f>D35-Q35</f>
        <v>#N/A</v>
      </c>
      <c r="S35" s="20" t="e">
        <f t="shared" si="6"/>
        <v>#N/A</v>
      </c>
      <c r="T35" s="21" t="e">
        <f>VLOOKUP(A5,[1]เกษียณ!B4:EV15,127,0)</f>
        <v>#N/A</v>
      </c>
      <c r="U35" s="21" t="e">
        <f>VLOOKUP(A5,[1]เกษียณ!B4:EV15,128,0)</f>
        <v>#N/A</v>
      </c>
      <c r="V35" s="21" t="e">
        <f>VLOOKUP(A5,[1]เกษียณ!B4:EV15,129,0)</f>
        <v>#N/A</v>
      </c>
      <c r="W35" s="21" t="e">
        <f>VLOOKUP(A5,[1]เกษียณ!B4:EV15,130,0)</f>
        <v>#N/A</v>
      </c>
      <c r="X35" s="21" t="e">
        <f>VLOOKUP(A5,[1]เกษียณ!B4:EV15,131,0)</f>
        <v>#N/A</v>
      </c>
      <c r="Y35" s="22"/>
      <c r="Z35" s="22"/>
      <c r="AA35" s="22"/>
      <c r="AB35" s="22"/>
      <c r="AC35" s="22"/>
      <c r="AD35" s="19" t="e">
        <f t="shared" si="0"/>
        <v>#N/A</v>
      </c>
      <c r="AE35" s="23">
        <f t="shared" si="9"/>
        <v>0</v>
      </c>
      <c r="AF35" s="23" t="e">
        <f>K35+AD35</f>
        <v>#N/A</v>
      </c>
      <c r="AG35" s="23" t="e">
        <f t="shared" si="14"/>
        <v>#N/A</v>
      </c>
      <c r="AH35" s="24"/>
      <c r="AI35" s="24"/>
      <c r="AJ35" s="25">
        <f t="shared" si="11"/>
        <v>0</v>
      </c>
      <c r="AK35" s="24"/>
      <c r="AL35" s="24"/>
      <c r="AM35" s="25">
        <f t="shared" si="7"/>
        <v>0</v>
      </c>
      <c r="AN35" s="25">
        <f t="shared" si="13"/>
        <v>0</v>
      </c>
      <c r="AO35" s="25"/>
      <c r="AP35" s="25" t="e">
        <f>J35-AD35-(AE35*5)+AM35</f>
        <v>#N/A</v>
      </c>
      <c r="AQ35" s="27" t="e">
        <f>D35-AP35</f>
        <v>#N/A</v>
      </c>
      <c r="AR35" s="28" t="e">
        <f>AP35/D35*100</f>
        <v>#N/A</v>
      </c>
    </row>
    <row r="36" spans="1:44" ht="18.75" x14ac:dyDescent="0.2">
      <c r="A36" s="1"/>
      <c r="B36" s="85">
        <v>22</v>
      </c>
      <c r="C36" s="30" t="s">
        <v>69</v>
      </c>
      <c r="D36" s="89" t="e">
        <f>VLOOKUP(A5,'[1]กรอบ '!$A$5:$Z$16,23,0)</f>
        <v>#N/A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8">
        <f t="shared" si="3"/>
        <v>0</v>
      </c>
      <c r="K36" s="89" t="e">
        <f>D36-(E36+E37)</f>
        <v>#N/A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8">
        <f t="shared" si="5"/>
        <v>0</v>
      </c>
      <c r="R36" s="23" t="e">
        <f>D36-(Q36+Q37)</f>
        <v>#N/A</v>
      </c>
      <c r="S36" s="20">
        <f t="shared" si="6"/>
        <v>0</v>
      </c>
      <c r="T36" s="38"/>
      <c r="U36" s="38"/>
      <c r="V36" s="38"/>
      <c r="W36" s="38"/>
      <c r="X36" s="38"/>
      <c r="Y36" s="22"/>
      <c r="Z36" s="22"/>
      <c r="AA36" s="22"/>
      <c r="AB36" s="22"/>
      <c r="AC36" s="22"/>
      <c r="AD36" s="19">
        <f t="shared" si="0"/>
        <v>0</v>
      </c>
      <c r="AE36" s="23">
        <f t="shared" si="9"/>
        <v>0</v>
      </c>
      <c r="AF36" s="83" t="e">
        <f>K36+AD36+AD37</f>
        <v>#N/A</v>
      </c>
      <c r="AG36" s="39" t="e">
        <f>SUM(AE36:AE37)+AF36/5</f>
        <v>#N/A</v>
      </c>
      <c r="AH36" s="24"/>
      <c r="AI36" s="24"/>
      <c r="AJ36" s="25">
        <f t="shared" si="11"/>
        <v>0</v>
      </c>
      <c r="AK36" s="24"/>
      <c r="AL36" s="24"/>
      <c r="AM36" s="25">
        <f t="shared" si="7"/>
        <v>0</v>
      </c>
      <c r="AN36" s="25">
        <f t="shared" si="13"/>
        <v>0</v>
      </c>
      <c r="AO36" s="25">
        <f>AL36/5</f>
        <v>0</v>
      </c>
      <c r="AP36" s="26" t="e">
        <f>(J36+J37)-SUM(AD36:AD37)-SUM(AE36:AE37)/5+SUM(AM36:AM37)</f>
        <v>#N/A</v>
      </c>
      <c r="AQ36" s="27" t="e">
        <f>D36-AP36</f>
        <v>#N/A</v>
      </c>
      <c r="AR36" s="34" t="e">
        <f>AP36/D36*100</f>
        <v>#N/A</v>
      </c>
    </row>
    <row r="37" spans="1:44" ht="18.75" x14ac:dyDescent="0.2">
      <c r="A37" s="1"/>
      <c r="B37" s="87"/>
      <c r="C37" s="32" t="s">
        <v>70</v>
      </c>
      <c r="D37" s="91"/>
      <c r="E37" s="17" t="e">
        <f>VLOOKUP(A5,[1]ตำแหน่ง!B5:GE16,157,0)</f>
        <v>#N/A</v>
      </c>
      <c r="F37" s="17" t="e">
        <f>VLOOKUP(A5,[1]ตำแหน่ง!B5:GE16,158,0)</f>
        <v>#N/A</v>
      </c>
      <c r="G37" s="17" t="e">
        <f>VLOOKUP(A5,[1]ตำแหน่ง!B5:GE16,159,0)</f>
        <v>#N/A</v>
      </c>
      <c r="H37" s="17" t="e">
        <f>VLOOKUP(A5,[1]ตำแหน่ง!B5:GE16,160,0)</f>
        <v>#N/A</v>
      </c>
      <c r="I37" s="17" t="e">
        <f>VLOOKUP(A5,[1]ตำแหน่ง!B5:GE16,161,0)</f>
        <v>#N/A</v>
      </c>
      <c r="J37" s="18" t="e">
        <f t="shared" si="3"/>
        <v>#N/A</v>
      </c>
      <c r="K37" s="91"/>
      <c r="L37" s="17" t="e">
        <f>VLOOKUP(A5,[1]คนจริง!B5:GE16,157,0)</f>
        <v>#N/A</v>
      </c>
      <c r="M37" s="17" t="e">
        <f>VLOOKUP(A5,[1]คนจริง!B5:GE16,158,0)</f>
        <v>#N/A</v>
      </c>
      <c r="N37" s="17" t="e">
        <f>VLOOKUP(A5,[1]คนจริง!B5:GE16,159,0)</f>
        <v>#N/A</v>
      </c>
      <c r="O37" s="17" t="e">
        <f>VLOOKUP(A5,[1]คนจริง!B5:GE16,160,0)</f>
        <v>#N/A</v>
      </c>
      <c r="P37" s="17" t="e">
        <f>VLOOKUP(A5,[1]คนจริง!B5:GE16,161,0)</f>
        <v>#N/A</v>
      </c>
      <c r="Q37" s="18" t="e">
        <f t="shared" si="5"/>
        <v>#N/A</v>
      </c>
      <c r="R37" s="15"/>
      <c r="S37" s="20" t="e">
        <f t="shared" si="6"/>
        <v>#N/A</v>
      </c>
      <c r="T37" s="21" t="e">
        <f>VLOOKUP(A5,[1]เกษียณ!B4:EV15,132,0)</f>
        <v>#N/A</v>
      </c>
      <c r="U37" s="21" t="e">
        <f>VLOOKUP(A5,[1]เกษียณ!B4:EV15,133,0)</f>
        <v>#N/A</v>
      </c>
      <c r="V37" s="21" t="e">
        <f>VLOOKUP(A5,[1]เกษียณ!B4:EV15,134,0)</f>
        <v>#N/A</v>
      </c>
      <c r="W37" s="21" t="e">
        <f>VLOOKUP(A5,[1]เกษียณ!B4:EV15,135,0)</f>
        <v>#N/A</v>
      </c>
      <c r="X37" s="21" t="e">
        <f>VLOOKUP(A5,[1]เกษียณ!B4:EV15,136,0)</f>
        <v>#N/A</v>
      </c>
      <c r="Y37" s="22"/>
      <c r="Z37" s="22"/>
      <c r="AA37" s="22"/>
      <c r="AB37" s="22"/>
      <c r="AC37" s="22"/>
      <c r="AD37" s="19" t="e">
        <f t="shared" si="0"/>
        <v>#N/A</v>
      </c>
      <c r="AE37" s="23">
        <f t="shared" si="9"/>
        <v>0</v>
      </c>
      <c r="AF37" s="84"/>
      <c r="AG37" s="54"/>
      <c r="AH37" s="24"/>
      <c r="AI37" s="24"/>
      <c r="AJ37" s="25">
        <f t="shared" si="11"/>
        <v>0</v>
      </c>
      <c r="AK37" s="24"/>
      <c r="AL37" s="24"/>
      <c r="AM37" s="25">
        <f t="shared" si="7"/>
        <v>0</v>
      </c>
      <c r="AN37" s="25">
        <f t="shared" si="13"/>
        <v>0</v>
      </c>
      <c r="AO37" s="25">
        <f>AL37/5</f>
        <v>0</v>
      </c>
      <c r="AP37" s="25"/>
      <c r="AQ37" s="27"/>
      <c r="AR37" s="34"/>
    </row>
    <row r="38" spans="1:44" ht="18.75" x14ac:dyDescent="0.2">
      <c r="A38" s="1"/>
      <c r="B38" s="15">
        <v>23</v>
      </c>
      <c r="C38" s="30" t="s">
        <v>71</v>
      </c>
      <c r="D38" s="19" t="e">
        <f>VLOOKUP(A5,'[1]กรอบ '!$A$5:$Z$16,24,0)</f>
        <v>#N/A</v>
      </c>
      <c r="E38" s="17" t="e">
        <f>VLOOKUP(A5,[1]ตำแหน่ง!B5:GE16,162,0)</f>
        <v>#N/A</v>
      </c>
      <c r="F38" s="17" t="e">
        <f>VLOOKUP(A5,[1]ตำแหน่ง!B5:GE16,163,0)</f>
        <v>#N/A</v>
      </c>
      <c r="G38" s="17" t="e">
        <f>VLOOKUP(A5,[1]ตำแหน่ง!B5:GE16,164,0)</f>
        <v>#N/A</v>
      </c>
      <c r="H38" s="17" t="e">
        <f>VLOOKUP(A5,[1]ตำแหน่ง!B5:GE16,165,0)</f>
        <v>#N/A</v>
      </c>
      <c r="I38" s="17" t="e">
        <f>VLOOKUP(A5,[1]ตำแหน่ง!B5:GE16,166,0)</f>
        <v>#N/A</v>
      </c>
      <c r="J38" s="18" t="e">
        <f t="shared" si="3"/>
        <v>#N/A</v>
      </c>
      <c r="K38" s="19" t="e">
        <f>D38-E38</f>
        <v>#N/A</v>
      </c>
      <c r="L38" s="17" t="e">
        <f>VLOOKUP(A5,[1]คนจริง!B5:GE16,162,0)</f>
        <v>#N/A</v>
      </c>
      <c r="M38" s="17" t="e">
        <f>VLOOKUP(A5,[1]คนจริง!B5:GE16,163,0)</f>
        <v>#N/A</v>
      </c>
      <c r="N38" s="17" t="e">
        <f>VLOOKUP(A5,[1]คนจริง!B5:GE16,164,0)</f>
        <v>#N/A</v>
      </c>
      <c r="O38" s="17" t="e">
        <f>VLOOKUP(A5,[1]คนจริง!B5:GE16,165,0)</f>
        <v>#N/A</v>
      </c>
      <c r="P38" s="17" t="e">
        <f>VLOOKUP(A5,[1]คนจริง!B5:GE16,166,0)</f>
        <v>#N/A</v>
      </c>
      <c r="Q38" s="18" t="e">
        <f t="shared" si="5"/>
        <v>#N/A</v>
      </c>
      <c r="R38" s="23" t="e">
        <f>D38-Q38</f>
        <v>#N/A</v>
      </c>
      <c r="S38" s="20" t="e">
        <f t="shared" si="6"/>
        <v>#N/A</v>
      </c>
      <c r="T38" s="38"/>
      <c r="U38" s="38"/>
      <c r="V38" s="38"/>
      <c r="W38" s="38"/>
      <c r="X38" s="38"/>
      <c r="Y38" s="22"/>
      <c r="Z38" s="22"/>
      <c r="AA38" s="22"/>
      <c r="AB38" s="22"/>
      <c r="AC38" s="22"/>
      <c r="AD38" s="19">
        <f t="shared" si="0"/>
        <v>0</v>
      </c>
      <c r="AE38" s="23">
        <f t="shared" si="9"/>
        <v>0</v>
      </c>
      <c r="AF38" s="23" t="e">
        <f>K38+AD38</f>
        <v>#N/A</v>
      </c>
      <c r="AG38" s="35" t="e">
        <f t="shared" si="14"/>
        <v>#N/A</v>
      </c>
      <c r="AH38" s="24"/>
      <c r="AI38" s="24"/>
      <c r="AJ38" s="25">
        <f t="shared" si="11"/>
        <v>0</v>
      </c>
      <c r="AK38" s="24"/>
      <c r="AL38" s="24"/>
      <c r="AM38" s="25">
        <f t="shared" si="7"/>
        <v>0</v>
      </c>
      <c r="AN38" s="25">
        <f t="shared" si="13"/>
        <v>0</v>
      </c>
      <c r="AO38" s="25">
        <f>AL38/5</f>
        <v>0</v>
      </c>
      <c r="AP38" s="25" t="e">
        <f>J38-AD38-(AE38*5)+AM38</f>
        <v>#N/A</v>
      </c>
      <c r="AQ38" s="27" t="e">
        <f>D38-AP38</f>
        <v>#N/A</v>
      </c>
      <c r="AR38" s="28" t="e">
        <f>AP38/D38*100</f>
        <v>#N/A</v>
      </c>
    </row>
    <row r="39" spans="1:44" ht="18.75" x14ac:dyDescent="0.2">
      <c r="A39" s="1"/>
      <c r="B39" s="85">
        <v>24</v>
      </c>
      <c r="C39" s="32" t="s">
        <v>72</v>
      </c>
      <c r="D39" s="88" t="e">
        <f>VLOOKUP(A5,'[1]กรอบ '!$A$5:$Z$16,25,0)</f>
        <v>#N/A</v>
      </c>
      <c r="E39" s="17" t="e">
        <f>VLOOKUP(A5,[1]ตำแหน่ง!B5:GE16,167,0)</f>
        <v>#N/A</v>
      </c>
      <c r="F39" s="17" t="e">
        <f>VLOOKUP(A5,[1]ตำแหน่ง!B5:GE16,168,0)</f>
        <v>#N/A</v>
      </c>
      <c r="G39" s="17" t="e">
        <f>VLOOKUP(A5,[1]ตำแหน่ง!B5:GE16,169,0)</f>
        <v>#N/A</v>
      </c>
      <c r="H39" s="17" t="e">
        <f>VLOOKUP(A5,[1]ตำแหน่ง!B5:GE16,170,0)</f>
        <v>#N/A</v>
      </c>
      <c r="I39" s="17" t="e">
        <f>VLOOKUP(A5,[1]ตำแหน่ง!B5:GE16,171,0)</f>
        <v>#N/A</v>
      </c>
      <c r="J39" s="18" t="e">
        <f t="shared" si="3"/>
        <v>#N/A</v>
      </c>
      <c r="K39" s="89" t="e">
        <f>D39-(E39+E40+E41)</f>
        <v>#N/A</v>
      </c>
      <c r="L39" s="17" t="e">
        <f>VLOOKUP(A5,[1]คนจริง!B5:GE16,167,0)</f>
        <v>#N/A</v>
      </c>
      <c r="M39" s="17" t="e">
        <f>VLOOKUP(A5,[1]คนจริง!B5:GE16,168,0)</f>
        <v>#N/A</v>
      </c>
      <c r="N39" s="17" t="e">
        <f>VLOOKUP(A5,[1]คนจริง!B5:GE16,169,0)</f>
        <v>#N/A</v>
      </c>
      <c r="O39" s="17" t="e">
        <f>VLOOKUP(A5,[1]คนจริง!B5:GE16,170,0)</f>
        <v>#N/A</v>
      </c>
      <c r="P39" s="17" t="e">
        <f>VLOOKUP(A5,[1]คนจริง!B5:GE16,171,0)</f>
        <v>#N/A</v>
      </c>
      <c r="Q39" s="18" t="e">
        <f t="shared" si="5"/>
        <v>#N/A</v>
      </c>
      <c r="R39" s="20" t="e">
        <f>D39-(Q39+Q40+Q41)</f>
        <v>#N/A</v>
      </c>
      <c r="S39" s="20" t="e">
        <f t="shared" si="6"/>
        <v>#N/A</v>
      </c>
      <c r="T39" s="21" t="e">
        <f>VLOOKUP(A5,[1]เกษียณ!B4:EV15,137,0)</f>
        <v>#N/A</v>
      </c>
      <c r="U39" s="21" t="e">
        <f>VLOOKUP(A5,[1]เกษียณ!B4:EV15,138,0)</f>
        <v>#N/A</v>
      </c>
      <c r="V39" s="21" t="e">
        <f>VLOOKUP(A5,[1]เกษียณ!B4:EV15,139,0)</f>
        <v>#N/A</v>
      </c>
      <c r="W39" s="21" t="e">
        <f>VLOOKUP(A5,[1]เกษียณ!B4:EV15,140,0)</f>
        <v>#N/A</v>
      </c>
      <c r="X39" s="21" t="e">
        <f>VLOOKUP(A5,[1]เกษียณ!B4:EV15,141,0)</f>
        <v>#N/A</v>
      </c>
      <c r="Y39" s="22"/>
      <c r="Z39" s="22"/>
      <c r="AA39" s="22"/>
      <c r="AB39" s="22"/>
      <c r="AC39" s="22"/>
      <c r="AD39" s="19" t="e">
        <f t="shared" si="0"/>
        <v>#N/A</v>
      </c>
      <c r="AE39" s="23">
        <f t="shared" si="9"/>
        <v>0</v>
      </c>
      <c r="AF39" s="92" t="e">
        <f>K39+AD39+AD40+AD41</f>
        <v>#N/A</v>
      </c>
      <c r="AG39" s="39" t="e">
        <f>SUM(AE39:AE41)+AF39/5</f>
        <v>#N/A</v>
      </c>
      <c r="AH39" s="47"/>
      <c r="AI39" s="24"/>
      <c r="AJ39" s="25">
        <f t="shared" si="11"/>
        <v>0</v>
      </c>
      <c r="AK39" s="24"/>
      <c r="AL39" s="24"/>
      <c r="AM39" s="25">
        <f t="shared" si="7"/>
        <v>0</v>
      </c>
      <c r="AN39" s="25">
        <f t="shared" si="13"/>
        <v>0</v>
      </c>
      <c r="AO39" s="25">
        <f>AL39/5</f>
        <v>0</v>
      </c>
      <c r="AP39" s="26" t="e">
        <f>(J39+J40+J41)-SUM(AD39:AD41)-SUM(AE39:AE41)/5+SUM(AM39:AM41)</f>
        <v>#N/A</v>
      </c>
      <c r="AQ39" s="27" t="e">
        <f>D39-AP39</f>
        <v>#N/A</v>
      </c>
      <c r="AR39" s="34" t="e">
        <f>AP39/D39*100</f>
        <v>#N/A</v>
      </c>
    </row>
    <row r="40" spans="1:44" ht="18.75" x14ac:dyDescent="0.2">
      <c r="A40" s="1"/>
      <c r="B40" s="86"/>
      <c r="C40" s="32" t="s">
        <v>73</v>
      </c>
      <c r="D40" s="88"/>
      <c r="E40" s="17" t="e">
        <f>VLOOKUP(A5,[1]ตำแหน่ง!B5:GE16,172,0)</f>
        <v>#N/A</v>
      </c>
      <c r="F40" s="17" t="e">
        <f>VLOOKUP(A5,[1]ตำแหน่ง!B5:GE16,173,0)</f>
        <v>#N/A</v>
      </c>
      <c r="G40" s="17" t="e">
        <f>VLOOKUP(A5,[1]ตำแหน่ง!B5:GE16,174,0)</f>
        <v>#N/A</v>
      </c>
      <c r="H40" s="17" t="e">
        <f>VLOOKUP(A5,[1]ตำแหน่ง!B5:GE16,175,0)</f>
        <v>#N/A</v>
      </c>
      <c r="I40" s="17" t="e">
        <f>VLOOKUP(A5,[1]ตำแหน่ง!B5:GE16,176,0)</f>
        <v>#N/A</v>
      </c>
      <c r="J40" s="18" t="e">
        <f t="shared" si="3"/>
        <v>#N/A</v>
      </c>
      <c r="K40" s="90"/>
      <c r="L40" s="17" t="e">
        <f>VLOOKUP(A5,[1]คนจริง!B5:GE16,172,0)</f>
        <v>#N/A</v>
      </c>
      <c r="M40" s="17" t="e">
        <f>VLOOKUP(A5,[1]คนจริง!B5:GE16,173,0)</f>
        <v>#N/A</v>
      </c>
      <c r="N40" s="17" t="e">
        <f>VLOOKUP(A5,[1]คนจริง!B5:GE16,174,0)</f>
        <v>#N/A</v>
      </c>
      <c r="O40" s="17" t="e">
        <f>VLOOKUP(A5,[1]คนจริง!B5:GE16,175,0)</f>
        <v>#N/A</v>
      </c>
      <c r="P40" s="17" t="e">
        <f>VLOOKUP(A5,[1]คนจริง!B5:GE16,176,0)</f>
        <v>#N/A</v>
      </c>
      <c r="Q40" s="18" t="e">
        <f t="shared" si="5"/>
        <v>#N/A</v>
      </c>
      <c r="R40" s="15"/>
      <c r="S40" s="20" t="e">
        <f t="shared" si="6"/>
        <v>#N/A</v>
      </c>
      <c r="T40" s="38"/>
      <c r="U40" s="38"/>
      <c r="V40" s="38"/>
      <c r="W40" s="38"/>
      <c r="X40" s="38"/>
      <c r="Y40" s="22"/>
      <c r="Z40" s="22"/>
      <c r="AA40" s="22"/>
      <c r="AB40" s="22"/>
      <c r="AC40" s="22"/>
      <c r="AD40" s="19">
        <f t="shared" si="0"/>
        <v>0</v>
      </c>
      <c r="AE40" s="23">
        <f t="shared" si="9"/>
        <v>0</v>
      </c>
      <c r="AF40" s="93"/>
      <c r="AG40" s="42"/>
      <c r="AH40" s="47"/>
      <c r="AI40" s="24"/>
      <c r="AJ40" s="25">
        <f t="shared" si="11"/>
        <v>0</v>
      </c>
      <c r="AK40" s="24"/>
      <c r="AL40" s="24"/>
      <c r="AM40" s="25">
        <f t="shared" si="7"/>
        <v>0</v>
      </c>
      <c r="AN40" s="25">
        <f t="shared" si="13"/>
        <v>0</v>
      </c>
      <c r="AO40" s="25"/>
      <c r="AP40" s="25"/>
      <c r="AQ40" s="27"/>
      <c r="AR40" s="34"/>
    </row>
    <row r="41" spans="1:44" ht="18.75" x14ac:dyDescent="0.2">
      <c r="A41" s="1"/>
      <c r="B41" s="87"/>
      <c r="C41" s="32" t="s">
        <v>74</v>
      </c>
      <c r="D41" s="88"/>
      <c r="E41" s="17" t="e">
        <f>VLOOKUP(A5,[1]ตำแหน่ง!B5:GE16,177,0)</f>
        <v>#N/A</v>
      </c>
      <c r="F41" s="17" t="e">
        <f>VLOOKUP(A5,[1]ตำแหน่ง!B5:GE16,178,0)</f>
        <v>#N/A</v>
      </c>
      <c r="G41" s="17" t="e">
        <f>VLOOKUP(A5,[1]ตำแหน่ง!B5:GE16,179,0)</f>
        <v>#N/A</v>
      </c>
      <c r="H41" s="17" t="e">
        <f>VLOOKUP(A5,[1]ตำแหน่ง!B5:GE16,180,0)</f>
        <v>#N/A</v>
      </c>
      <c r="I41" s="17" t="e">
        <f>VLOOKUP(A5,[1]ตำแหน่ง!B5:GE16,181,0)</f>
        <v>#N/A</v>
      </c>
      <c r="J41" s="18" t="e">
        <f t="shared" si="3"/>
        <v>#N/A</v>
      </c>
      <c r="K41" s="91"/>
      <c r="L41" s="17" t="e">
        <f>VLOOKUP(A5,[1]คนจริง!B5:GE16,177,0)</f>
        <v>#N/A</v>
      </c>
      <c r="M41" s="17" t="e">
        <f>VLOOKUP(A5,[1]คนจริง!B5:GE16,178,0)</f>
        <v>#N/A</v>
      </c>
      <c r="N41" s="17" t="e">
        <f>VLOOKUP(A5,[1]คนจริง!B5:GE16,179,0)</f>
        <v>#N/A</v>
      </c>
      <c r="O41" s="17" t="e">
        <f>VLOOKUP(A5,[1]คนจริง!B5:GE16,180,0)</f>
        <v>#N/A</v>
      </c>
      <c r="P41" s="17" t="e">
        <f>VLOOKUP(A5,[1]คนจริง!B5:GE16,181,0)</f>
        <v>#N/A</v>
      </c>
      <c r="Q41" s="18" t="e">
        <f t="shared" si="5"/>
        <v>#N/A</v>
      </c>
      <c r="R41" s="15"/>
      <c r="S41" s="20" t="e">
        <f t="shared" si="6"/>
        <v>#N/A</v>
      </c>
      <c r="T41" s="21" t="e">
        <f>VLOOKUP(A5,[1]เกษียณ!B4:EV15,142,0)</f>
        <v>#N/A</v>
      </c>
      <c r="U41" s="21" t="e">
        <f>VLOOKUP(A5,[1]เกษียณ!B4:EV15,143,0)</f>
        <v>#N/A</v>
      </c>
      <c r="V41" s="21" t="e">
        <f>VLOOKUP(A5,[1]เกษียณ!B4:EV15,144,0)</f>
        <v>#N/A</v>
      </c>
      <c r="W41" s="21" t="e">
        <f>VLOOKUP(A5,[1]เกษียณ!B4:EV15,145,0)</f>
        <v>#N/A</v>
      </c>
      <c r="X41" s="21" t="e">
        <f>VLOOKUP(A5,[1]เกษียณ!B4:EV15,146,0)</f>
        <v>#N/A</v>
      </c>
      <c r="Y41" s="22"/>
      <c r="Z41" s="22"/>
      <c r="AA41" s="22"/>
      <c r="AB41" s="22"/>
      <c r="AC41" s="22"/>
      <c r="AD41" s="19" t="e">
        <f t="shared" si="0"/>
        <v>#N/A</v>
      </c>
      <c r="AE41" s="23">
        <f t="shared" si="9"/>
        <v>0</v>
      </c>
      <c r="AF41" s="94"/>
      <c r="AG41" s="54"/>
      <c r="AH41" s="47"/>
      <c r="AI41" s="24"/>
      <c r="AJ41" s="25">
        <f t="shared" si="11"/>
        <v>0</v>
      </c>
      <c r="AK41" s="24"/>
      <c r="AL41" s="24"/>
      <c r="AM41" s="25">
        <f t="shared" si="7"/>
        <v>0</v>
      </c>
      <c r="AN41" s="25">
        <f t="shared" si="13"/>
        <v>0</v>
      </c>
      <c r="AO41" s="25"/>
      <c r="AP41" s="25"/>
      <c r="AQ41" s="27"/>
      <c r="AR41" s="34"/>
    </row>
    <row r="42" spans="1:44" ht="18.75" x14ac:dyDescent="0.2">
      <c r="A42" s="1"/>
      <c r="B42" s="15">
        <v>25</v>
      </c>
      <c r="C42" s="32" t="s">
        <v>75</v>
      </c>
      <c r="D42" s="19" t="e">
        <f>VLOOKUP(A5,'[1]กรอบ '!$A$5:$Z$16,26,0)</f>
        <v>#N/A</v>
      </c>
      <c r="E42" s="17" t="e">
        <f>VLOOKUP(A5,[1]ตำแหน่ง!B5:GE16,182,0)</f>
        <v>#N/A</v>
      </c>
      <c r="F42" s="17" t="e">
        <f>VLOOKUP(A5,[1]ตำแหน่ง!B5:GE16,183,0)</f>
        <v>#N/A</v>
      </c>
      <c r="G42" s="17" t="e">
        <f>VLOOKUP(A5,[1]ตำแหน่ง!B5:GE16,184,0)</f>
        <v>#N/A</v>
      </c>
      <c r="H42" s="17" t="e">
        <f>VLOOKUP(A5,[1]ตำแหน่ง!B5:GE16,185,0)</f>
        <v>#N/A</v>
      </c>
      <c r="I42" s="17" t="e">
        <f>VLOOKUP(A5,[1]ตำแหน่ง!B5:GE16,186,0)</f>
        <v>#N/A</v>
      </c>
      <c r="J42" s="18" t="e">
        <f t="shared" si="3"/>
        <v>#N/A</v>
      </c>
      <c r="K42" s="19" t="e">
        <f>D42-E42</f>
        <v>#N/A</v>
      </c>
      <c r="L42" s="17" t="e">
        <f>VLOOKUP(A5,[1]คนจริง!B5:GE16,182,0)</f>
        <v>#N/A</v>
      </c>
      <c r="M42" s="17" t="e">
        <f>VLOOKUP(A5,[1]คนจริง!B5:GE16,183,0)</f>
        <v>#N/A</v>
      </c>
      <c r="N42" s="17" t="e">
        <f>VLOOKUP(A5,[1]คนจริง!B5:GE16,184,0)</f>
        <v>#N/A</v>
      </c>
      <c r="O42" s="17" t="e">
        <f>VLOOKUP(A5,[1]คนจริง!B5:GE16,185,0)</f>
        <v>#N/A</v>
      </c>
      <c r="P42" s="17" t="e">
        <f>VLOOKUP(A5,[1]คนจริง!B5:GE16,186,0)</f>
        <v>#N/A</v>
      </c>
      <c r="Q42" s="18" t="e">
        <f t="shared" si="5"/>
        <v>#N/A</v>
      </c>
      <c r="R42" s="23" t="e">
        <f>D42-Q42</f>
        <v>#N/A</v>
      </c>
      <c r="S42" s="20" t="e">
        <f t="shared" si="6"/>
        <v>#N/A</v>
      </c>
      <c r="T42" s="21" t="e">
        <f>VLOOKUP(A5,[1]เกษียณ!B4:EV15,147,0)</f>
        <v>#N/A</v>
      </c>
      <c r="U42" s="21" t="e">
        <f>VLOOKUP(A5,[1]เกษียณ!B4:EV15,148,0)</f>
        <v>#N/A</v>
      </c>
      <c r="V42" s="21" t="e">
        <f>VLOOKUP(A5,[1]เกษียณ!B4:EV15,149,0)</f>
        <v>#N/A</v>
      </c>
      <c r="W42" s="21" t="e">
        <f>VLOOKUP(A5,[1]เกษียณ!B4:EV15,150,0)</f>
        <v>#N/A</v>
      </c>
      <c r="X42" s="21" t="e">
        <f>VLOOKUP(A5,[1]เกษียณ!B4:EV15,151,0)</f>
        <v>#N/A</v>
      </c>
      <c r="Y42" s="22"/>
      <c r="Z42" s="22"/>
      <c r="AA42" s="22"/>
      <c r="AB42" s="22"/>
      <c r="AC42" s="22"/>
      <c r="AD42" s="19" t="e">
        <f t="shared" si="0"/>
        <v>#N/A</v>
      </c>
      <c r="AE42" s="23">
        <f t="shared" si="9"/>
        <v>0</v>
      </c>
      <c r="AF42" s="23" t="e">
        <f>K42+AD42</f>
        <v>#N/A</v>
      </c>
      <c r="AG42" s="54" t="e">
        <f t="shared" si="14"/>
        <v>#N/A</v>
      </c>
      <c r="AH42" s="24"/>
      <c r="AI42" s="24"/>
      <c r="AJ42" s="25">
        <f t="shared" si="11"/>
        <v>0</v>
      </c>
      <c r="AK42" s="24"/>
      <c r="AL42" s="24"/>
      <c r="AM42" s="25">
        <f t="shared" si="7"/>
        <v>0</v>
      </c>
      <c r="AN42" s="25">
        <f t="shared" si="13"/>
        <v>0</v>
      </c>
      <c r="AO42" s="25">
        <f>AL42/5</f>
        <v>0</v>
      </c>
      <c r="AP42" s="25" t="e">
        <f>J42-AD42-(AE42*5)+AM42</f>
        <v>#N/A</v>
      </c>
      <c r="AQ42" s="27" t="e">
        <f>D42-AP42</f>
        <v>#N/A</v>
      </c>
      <c r="AR42" s="34" t="e">
        <f>AP42/D42*100</f>
        <v>#N/A</v>
      </c>
    </row>
    <row r="43" spans="1:44" ht="18.75" x14ac:dyDescent="0.2">
      <c r="A43" s="1"/>
      <c r="B43" s="57"/>
      <c r="C43" s="58" t="s">
        <v>25</v>
      </c>
      <c r="D43" s="59" t="e">
        <f t="shared" ref="D43:S43" si="16">SUM(D4:D42)</f>
        <v>#N/A</v>
      </c>
      <c r="E43" s="60" t="e">
        <f t="shared" si="16"/>
        <v>#N/A</v>
      </c>
      <c r="F43" s="60" t="e">
        <f t="shared" si="16"/>
        <v>#N/A</v>
      </c>
      <c r="G43" s="60" t="e">
        <f t="shared" si="16"/>
        <v>#N/A</v>
      </c>
      <c r="H43" s="60" t="e">
        <f t="shared" si="16"/>
        <v>#N/A</v>
      </c>
      <c r="I43" s="60" t="e">
        <f t="shared" si="16"/>
        <v>#N/A</v>
      </c>
      <c r="J43" s="61" t="e">
        <f t="shared" si="16"/>
        <v>#N/A</v>
      </c>
      <c r="K43" s="62" t="e">
        <f t="shared" si="16"/>
        <v>#N/A</v>
      </c>
      <c r="L43" s="63" t="e">
        <f t="shared" si="16"/>
        <v>#N/A</v>
      </c>
      <c r="M43" s="63" t="e">
        <f t="shared" si="16"/>
        <v>#N/A</v>
      </c>
      <c r="N43" s="63" t="e">
        <f t="shared" si="16"/>
        <v>#N/A</v>
      </c>
      <c r="O43" s="63" t="e">
        <f t="shared" si="16"/>
        <v>#N/A</v>
      </c>
      <c r="P43" s="63" t="e">
        <f t="shared" si="16"/>
        <v>#N/A</v>
      </c>
      <c r="Q43" s="64" t="e">
        <f>SUM(Q4:Q42)</f>
        <v>#N/A</v>
      </c>
      <c r="R43" s="62" t="e">
        <f t="shared" si="16"/>
        <v>#N/A</v>
      </c>
      <c r="S43" s="62" t="e">
        <f t="shared" si="16"/>
        <v>#N/A</v>
      </c>
      <c r="T43" s="62" t="e">
        <f>SUM(T4:T42)</f>
        <v>#N/A</v>
      </c>
      <c r="U43" s="62" t="e">
        <f t="shared" ref="U43:X43" si="17">SUM(U4:U42)</f>
        <v>#N/A</v>
      </c>
      <c r="V43" s="62" t="e">
        <f t="shared" si="17"/>
        <v>#N/A</v>
      </c>
      <c r="W43" s="62" t="e">
        <f t="shared" si="17"/>
        <v>#N/A</v>
      </c>
      <c r="X43" s="62" t="e">
        <f t="shared" si="17"/>
        <v>#N/A</v>
      </c>
      <c r="Y43" s="65">
        <f>SUM(Y4:Y42)</f>
        <v>0</v>
      </c>
      <c r="Z43" s="65">
        <f t="shared" ref="Z43:AC43" si="18">SUM(Z4:Z42)</f>
        <v>0</v>
      </c>
      <c r="AA43" s="65">
        <f t="shared" si="18"/>
        <v>0</v>
      </c>
      <c r="AB43" s="65">
        <f t="shared" si="18"/>
        <v>0</v>
      </c>
      <c r="AC43" s="65">
        <f t="shared" si="18"/>
        <v>0</v>
      </c>
      <c r="AD43" s="62" t="e">
        <f>SUM(AD4:AD42)</f>
        <v>#N/A</v>
      </c>
      <c r="AE43" s="57">
        <f t="shared" si="9"/>
        <v>0</v>
      </c>
      <c r="AF43" s="57"/>
      <c r="AG43" s="57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</sheetData>
  <mergeCells count="50">
    <mergeCell ref="AD2:AD3"/>
    <mergeCell ref="AE2:AE3"/>
    <mergeCell ref="B2:B3"/>
    <mergeCell ref="C2:C3"/>
    <mergeCell ref="D2:D3"/>
    <mergeCell ref="E2:J2"/>
    <mergeCell ref="K2:K3"/>
    <mergeCell ref="L2:Q2"/>
    <mergeCell ref="AR2:AR3"/>
    <mergeCell ref="D9:D11"/>
    <mergeCell ref="K9:K11"/>
    <mergeCell ref="B12:B13"/>
    <mergeCell ref="D12:D13"/>
    <mergeCell ref="K12:K13"/>
    <mergeCell ref="AF2:AF3"/>
    <mergeCell ref="AG2:AG3"/>
    <mergeCell ref="AH2:AJ2"/>
    <mergeCell ref="AK2:AO2"/>
    <mergeCell ref="AP2:AP3"/>
    <mergeCell ref="AQ2:AQ3"/>
    <mergeCell ref="R2:R3"/>
    <mergeCell ref="S2:S3"/>
    <mergeCell ref="T2:X2"/>
    <mergeCell ref="Y2:AB2"/>
    <mergeCell ref="D14:D16"/>
    <mergeCell ref="K14:K16"/>
    <mergeCell ref="D17:D18"/>
    <mergeCell ref="K17:K18"/>
    <mergeCell ref="B21:B22"/>
    <mergeCell ref="D21:D22"/>
    <mergeCell ref="K21:K22"/>
    <mergeCell ref="D27:D28"/>
    <mergeCell ref="K27:K28"/>
    <mergeCell ref="AF27:AF28"/>
    <mergeCell ref="D29:D30"/>
    <mergeCell ref="K29:K30"/>
    <mergeCell ref="AF29:AF30"/>
    <mergeCell ref="B31:B32"/>
    <mergeCell ref="D31:D32"/>
    <mergeCell ref="K31:K32"/>
    <mergeCell ref="D33:D34"/>
    <mergeCell ref="K33:K34"/>
    <mergeCell ref="AF36:AF37"/>
    <mergeCell ref="B39:B41"/>
    <mergeCell ref="D39:D41"/>
    <mergeCell ref="K39:K41"/>
    <mergeCell ref="AF39:AF41"/>
    <mergeCell ref="B36:B37"/>
    <mergeCell ref="D36:D37"/>
    <mergeCell ref="K36:K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P65"/>
  <sheetViews>
    <sheetView tabSelected="1" topLeftCell="A94" zoomScale="90" zoomScaleNormal="90" workbookViewId="0">
      <selection activeCell="S99" sqref="S99"/>
    </sheetView>
  </sheetViews>
  <sheetFormatPr defaultRowHeight="21" x14ac:dyDescent="0.35"/>
  <cols>
    <col min="1" max="1" width="4.5" style="66" customWidth="1"/>
    <col min="2" max="2" width="21.25" style="66" customWidth="1"/>
    <col min="3" max="3" width="6.5" style="66" customWidth="1"/>
    <col min="4" max="4" width="9.375" style="66" customWidth="1"/>
    <col min="5" max="6" width="4.125" style="66" customWidth="1"/>
    <col min="7" max="7" width="4.25" style="66" customWidth="1"/>
    <col min="8" max="8" width="5.875" style="66" customWidth="1"/>
    <col min="9" max="9" width="4.25" style="66" customWidth="1"/>
    <col min="10" max="10" width="4" style="66" customWidth="1"/>
    <col min="11" max="11" width="6.5" style="66" customWidth="1"/>
    <col min="12" max="12" width="9.375" style="66" customWidth="1"/>
    <col min="13" max="14" width="4.125" style="66" customWidth="1"/>
    <col min="15" max="15" width="4.25" style="66" customWidth="1"/>
    <col min="16" max="16" width="5.875" style="66" customWidth="1"/>
    <col min="17" max="17" width="4.25" style="66" customWidth="1"/>
    <col min="18" max="18" width="4" style="66" customWidth="1"/>
    <col min="19" max="19" width="6.5" style="66" customWidth="1"/>
    <col min="20" max="20" width="9.375" style="66" customWidth="1"/>
    <col min="21" max="22" width="4.125" style="66" customWidth="1"/>
    <col min="23" max="23" width="4.25" style="66" customWidth="1"/>
    <col min="24" max="24" width="5.875" style="66" customWidth="1"/>
    <col min="25" max="25" width="4.25" style="66" customWidth="1"/>
    <col min="26" max="26" width="4" style="66" customWidth="1"/>
    <col min="27" max="27" width="6.5" style="66" customWidth="1"/>
    <col min="28" max="28" width="9.375" style="66" customWidth="1"/>
    <col min="29" max="30" width="4.125" style="66" customWidth="1"/>
    <col min="31" max="31" width="4.25" style="66" customWidth="1"/>
    <col min="32" max="32" width="5.875" style="66" customWidth="1"/>
    <col min="33" max="33" width="4.25" style="66" customWidth="1"/>
    <col min="34" max="34" width="4" style="66" customWidth="1"/>
    <col min="35" max="35" width="6.5" style="66" customWidth="1"/>
    <col min="36" max="36" width="9.375" style="66" customWidth="1"/>
    <col min="37" max="38" width="4.125" style="66" customWidth="1"/>
    <col min="39" max="39" width="4.25" style="66" customWidth="1"/>
    <col min="40" max="40" width="5.875" style="66" customWidth="1"/>
    <col min="41" max="41" width="4.25" style="66" customWidth="1"/>
    <col min="42" max="42" width="4" style="66" customWidth="1"/>
    <col min="43" max="16384" width="9" style="66"/>
  </cols>
  <sheetData>
    <row r="1" spans="1:42" ht="25.5" customHeight="1" x14ac:dyDescent="0.35">
      <c r="A1" s="134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</row>
    <row r="2" spans="1:42" ht="18" customHeight="1" x14ac:dyDescent="0.35">
      <c r="A2" s="135" t="s">
        <v>1</v>
      </c>
      <c r="B2" s="135" t="s">
        <v>2</v>
      </c>
      <c r="C2" s="138" t="s">
        <v>77</v>
      </c>
      <c r="D2" s="138"/>
      <c r="E2" s="138"/>
      <c r="F2" s="138"/>
      <c r="G2" s="138"/>
      <c r="H2" s="138"/>
      <c r="I2" s="138"/>
      <c r="J2" s="138"/>
      <c r="K2" s="138" t="s">
        <v>78</v>
      </c>
      <c r="L2" s="138"/>
      <c r="M2" s="138"/>
      <c r="N2" s="138"/>
      <c r="O2" s="138"/>
      <c r="P2" s="138"/>
      <c r="Q2" s="138"/>
      <c r="R2" s="138"/>
      <c r="S2" s="138" t="s">
        <v>79</v>
      </c>
      <c r="T2" s="138"/>
      <c r="U2" s="138"/>
      <c r="V2" s="138"/>
      <c r="W2" s="138"/>
      <c r="X2" s="138"/>
      <c r="Y2" s="138"/>
      <c r="Z2" s="138"/>
      <c r="AA2" s="138" t="s">
        <v>80</v>
      </c>
      <c r="AB2" s="138"/>
      <c r="AC2" s="138"/>
      <c r="AD2" s="138"/>
      <c r="AE2" s="138"/>
      <c r="AF2" s="138"/>
      <c r="AG2" s="138"/>
      <c r="AH2" s="138"/>
      <c r="AI2" s="138" t="s">
        <v>81</v>
      </c>
      <c r="AJ2" s="138"/>
      <c r="AK2" s="138"/>
      <c r="AL2" s="138"/>
      <c r="AM2" s="138"/>
      <c r="AN2" s="138"/>
      <c r="AO2" s="138"/>
      <c r="AP2" s="138"/>
    </row>
    <row r="3" spans="1:42" ht="18" customHeight="1" x14ac:dyDescent="0.35">
      <c r="A3" s="136"/>
      <c r="B3" s="136"/>
      <c r="C3" s="138" t="s">
        <v>82</v>
      </c>
      <c r="D3" s="138"/>
      <c r="E3" s="138"/>
      <c r="F3" s="138"/>
      <c r="G3" s="138"/>
      <c r="H3" s="138"/>
      <c r="I3" s="138"/>
      <c r="J3" s="138"/>
      <c r="K3" s="138" t="s">
        <v>82</v>
      </c>
      <c r="L3" s="138"/>
      <c r="M3" s="138"/>
      <c r="N3" s="138"/>
      <c r="O3" s="138"/>
      <c r="P3" s="138"/>
      <c r="Q3" s="138"/>
      <c r="R3" s="138"/>
      <c r="S3" s="138" t="s">
        <v>82</v>
      </c>
      <c r="T3" s="138"/>
      <c r="U3" s="138"/>
      <c r="V3" s="138"/>
      <c r="W3" s="138"/>
      <c r="X3" s="138"/>
      <c r="Y3" s="138"/>
      <c r="Z3" s="138"/>
      <c r="AA3" s="138" t="s">
        <v>82</v>
      </c>
      <c r="AB3" s="138"/>
      <c r="AC3" s="138"/>
      <c r="AD3" s="138"/>
      <c r="AE3" s="138"/>
      <c r="AF3" s="138"/>
      <c r="AG3" s="138"/>
      <c r="AH3" s="138"/>
      <c r="AI3" s="138" t="s">
        <v>82</v>
      </c>
      <c r="AJ3" s="138"/>
      <c r="AK3" s="138"/>
      <c r="AL3" s="138"/>
      <c r="AM3" s="138"/>
      <c r="AN3" s="138"/>
      <c r="AO3" s="138"/>
      <c r="AP3" s="138"/>
    </row>
    <row r="4" spans="1:42" ht="18" customHeight="1" x14ac:dyDescent="0.35">
      <c r="A4" s="136"/>
      <c r="B4" s="136"/>
      <c r="C4" s="131" t="s">
        <v>83</v>
      </c>
      <c r="D4" s="131"/>
      <c r="E4" s="131"/>
      <c r="F4" s="131"/>
      <c r="G4" s="131"/>
      <c r="H4" s="130" t="s">
        <v>84</v>
      </c>
      <c r="I4" s="130"/>
      <c r="J4" s="130"/>
      <c r="K4" s="131" t="s">
        <v>83</v>
      </c>
      <c r="L4" s="131"/>
      <c r="M4" s="131"/>
      <c r="N4" s="131"/>
      <c r="O4" s="131"/>
      <c r="P4" s="130" t="s">
        <v>84</v>
      </c>
      <c r="Q4" s="130"/>
      <c r="R4" s="130"/>
      <c r="S4" s="131" t="s">
        <v>83</v>
      </c>
      <c r="T4" s="131"/>
      <c r="U4" s="131"/>
      <c r="V4" s="131"/>
      <c r="W4" s="131"/>
      <c r="X4" s="130" t="s">
        <v>84</v>
      </c>
      <c r="Y4" s="130"/>
      <c r="Z4" s="130"/>
      <c r="AA4" s="131" t="s">
        <v>83</v>
      </c>
      <c r="AB4" s="131"/>
      <c r="AC4" s="131"/>
      <c r="AD4" s="131"/>
      <c r="AE4" s="131"/>
      <c r="AF4" s="130" t="s">
        <v>84</v>
      </c>
      <c r="AG4" s="130"/>
      <c r="AH4" s="130"/>
      <c r="AI4" s="131" t="s">
        <v>83</v>
      </c>
      <c r="AJ4" s="131"/>
      <c r="AK4" s="131"/>
      <c r="AL4" s="131"/>
      <c r="AM4" s="131"/>
      <c r="AN4" s="130" t="s">
        <v>84</v>
      </c>
      <c r="AO4" s="130"/>
      <c r="AP4" s="130"/>
    </row>
    <row r="5" spans="1:42" ht="18" customHeight="1" x14ac:dyDescent="0.35">
      <c r="A5" s="137"/>
      <c r="B5" s="137"/>
      <c r="C5" s="67" t="s">
        <v>85</v>
      </c>
      <c r="D5" s="67" t="s">
        <v>86</v>
      </c>
      <c r="E5" s="67" t="s">
        <v>87</v>
      </c>
      <c r="F5" s="67" t="s">
        <v>88</v>
      </c>
      <c r="G5" s="67" t="s">
        <v>89</v>
      </c>
      <c r="H5" s="68" t="s">
        <v>90</v>
      </c>
      <c r="I5" s="68" t="s">
        <v>91</v>
      </c>
      <c r="J5" s="68" t="s">
        <v>92</v>
      </c>
      <c r="K5" s="67" t="s">
        <v>85</v>
      </c>
      <c r="L5" s="67" t="s">
        <v>86</v>
      </c>
      <c r="M5" s="67" t="s">
        <v>87</v>
      </c>
      <c r="N5" s="67" t="s">
        <v>88</v>
      </c>
      <c r="O5" s="67" t="s">
        <v>89</v>
      </c>
      <c r="P5" s="68" t="s">
        <v>90</v>
      </c>
      <c r="Q5" s="68" t="s">
        <v>91</v>
      </c>
      <c r="R5" s="68" t="s">
        <v>92</v>
      </c>
      <c r="S5" s="67" t="s">
        <v>85</v>
      </c>
      <c r="T5" s="67" t="s">
        <v>86</v>
      </c>
      <c r="U5" s="67" t="s">
        <v>87</v>
      </c>
      <c r="V5" s="67" t="s">
        <v>88</v>
      </c>
      <c r="W5" s="67" t="s">
        <v>89</v>
      </c>
      <c r="X5" s="68" t="s">
        <v>90</v>
      </c>
      <c r="Y5" s="68" t="s">
        <v>91</v>
      </c>
      <c r="Z5" s="68" t="s">
        <v>92</v>
      </c>
      <c r="AA5" s="67" t="s">
        <v>85</v>
      </c>
      <c r="AB5" s="67" t="s">
        <v>86</v>
      </c>
      <c r="AC5" s="67" t="s">
        <v>87</v>
      </c>
      <c r="AD5" s="67" t="s">
        <v>88</v>
      </c>
      <c r="AE5" s="67" t="s">
        <v>89</v>
      </c>
      <c r="AF5" s="68" t="s">
        <v>90</v>
      </c>
      <c r="AG5" s="68" t="s">
        <v>91</v>
      </c>
      <c r="AH5" s="68" t="s">
        <v>92</v>
      </c>
      <c r="AI5" s="67" t="s">
        <v>85</v>
      </c>
      <c r="AJ5" s="67" t="s">
        <v>86</v>
      </c>
      <c r="AK5" s="67" t="s">
        <v>87</v>
      </c>
      <c r="AL5" s="67" t="s">
        <v>88</v>
      </c>
      <c r="AM5" s="67" t="s">
        <v>89</v>
      </c>
      <c r="AN5" s="68" t="s">
        <v>90</v>
      </c>
      <c r="AO5" s="68" t="s">
        <v>91</v>
      </c>
      <c r="AP5" s="68" t="s">
        <v>92</v>
      </c>
    </row>
    <row r="6" spans="1:42" x14ac:dyDescent="0.35">
      <c r="A6" s="132" t="s">
        <v>93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</row>
    <row r="7" spans="1:42" x14ac:dyDescent="0.35">
      <c r="A7" s="69">
        <v>1</v>
      </c>
      <c r="B7" s="70" t="s">
        <v>37</v>
      </c>
      <c r="C7" s="71"/>
      <c r="D7" s="71"/>
      <c r="E7" s="71"/>
      <c r="F7" s="71"/>
      <c r="G7" s="71"/>
      <c r="H7" s="72"/>
      <c r="I7" s="72"/>
      <c r="J7" s="72"/>
      <c r="K7" s="71"/>
      <c r="L7" s="71"/>
      <c r="M7" s="71"/>
      <c r="N7" s="71"/>
      <c r="O7" s="71"/>
      <c r="P7" s="72"/>
      <c r="Q7" s="72"/>
      <c r="R7" s="72"/>
      <c r="S7" s="71"/>
      <c r="T7" s="71"/>
      <c r="U7" s="71"/>
      <c r="V7" s="71"/>
      <c r="W7" s="71"/>
      <c r="X7" s="72"/>
      <c r="Y7" s="72"/>
      <c r="Z7" s="72"/>
      <c r="AA7" s="71"/>
      <c r="AB7" s="71"/>
      <c r="AC7" s="71"/>
      <c r="AD7" s="71"/>
      <c r="AE7" s="71"/>
      <c r="AF7" s="72"/>
      <c r="AG7" s="72"/>
      <c r="AH7" s="72"/>
      <c r="AI7" s="71"/>
      <c r="AJ7" s="71"/>
      <c r="AK7" s="71"/>
      <c r="AL7" s="71"/>
      <c r="AM7" s="71"/>
      <c r="AN7" s="72"/>
      <c r="AO7" s="72"/>
      <c r="AP7" s="72"/>
    </row>
    <row r="8" spans="1:42" x14ac:dyDescent="0.35">
      <c r="A8" s="69">
        <v>2</v>
      </c>
      <c r="B8" s="73" t="s">
        <v>38</v>
      </c>
      <c r="C8" s="71"/>
      <c r="D8" s="71"/>
      <c r="E8" s="71"/>
      <c r="F8" s="71"/>
      <c r="G8" s="71"/>
      <c r="H8" s="72"/>
      <c r="I8" s="72"/>
      <c r="J8" s="72"/>
      <c r="K8" s="71"/>
      <c r="L8" s="71"/>
      <c r="M8" s="71"/>
      <c r="N8" s="71"/>
      <c r="O8" s="71"/>
      <c r="P8" s="72"/>
      <c r="Q8" s="72"/>
      <c r="R8" s="72"/>
      <c r="S8" s="71"/>
      <c r="T8" s="71"/>
      <c r="U8" s="71"/>
      <c r="V8" s="71"/>
      <c r="W8" s="71"/>
      <c r="X8" s="72"/>
      <c r="Y8" s="72"/>
      <c r="Z8" s="72"/>
      <c r="AA8" s="71"/>
      <c r="AB8" s="71"/>
      <c r="AC8" s="71"/>
      <c r="AD8" s="71"/>
      <c r="AE8" s="71"/>
      <c r="AF8" s="72"/>
      <c r="AG8" s="72"/>
      <c r="AH8" s="72"/>
      <c r="AI8" s="71"/>
      <c r="AJ8" s="71"/>
      <c r="AK8" s="71"/>
      <c r="AL8" s="71"/>
      <c r="AM8" s="71"/>
      <c r="AN8" s="72"/>
      <c r="AO8" s="72"/>
      <c r="AP8" s="72"/>
    </row>
    <row r="9" spans="1:42" x14ac:dyDescent="0.35">
      <c r="A9" s="69">
        <v>3</v>
      </c>
      <c r="B9" s="70" t="s">
        <v>39</v>
      </c>
      <c r="C9" s="71"/>
      <c r="D9" s="71"/>
      <c r="E9" s="71"/>
      <c r="F9" s="71"/>
      <c r="G9" s="71"/>
      <c r="H9" s="72"/>
      <c r="I9" s="72"/>
      <c r="J9" s="72"/>
      <c r="K9" s="71"/>
      <c r="L9" s="71"/>
      <c r="M9" s="71"/>
      <c r="N9" s="71"/>
      <c r="O9" s="71"/>
      <c r="P9" s="72"/>
      <c r="Q9" s="72"/>
      <c r="R9" s="72"/>
      <c r="S9" s="71"/>
      <c r="T9" s="71"/>
      <c r="U9" s="71"/>
      <c r="V9" s="71"/>
      <c r="W9" s="71"/>
      <c r="X9" s="72"/>
      <c r="Y9" s="72"/>
      <c r="Z9" s="72"/>
      <c r="AA9" s="71"/>
      <c r="AB9" s="71"/>
      <c r="AC9" s="71"/>
      <c r="AD9" s="71"/>
      <c r="AE9" s="71"/>
      <c r="AF9" s="72"/>
      <c r="AG9" s="72"/>
      <c r="AH9" s="72"/>
      <c r="AI9" s="71"/>
      <c r="AJ9" s="71"/>
      <c r="AK9" s="71"/>
      <c r="AL9" s="71"/>
      <c r="AM9" s="71"/>
      <c r="AN9" s="72"/>
      <c r="AO9" s="72"/>
      <c r="AP9" s="72"/>
    </row>
    <row r="10" spans="1:42" x14ac:dyDescent="0.35">
      <c r="A10" s="69">
        <v>4</v>
      </c>
      <c r="B10" s="73" t="s">
        <v>40</v>
      </c>
      <c r="C10" s="71"/>
      <c r="D10" s="71"/>
      <c r="E10" s="71"/>
      <c r="F10" s="71"/>
      <c r="G10" s="71"/>
      <c r="H10" s="72"/>
      <c r="I10" s="72"/>
      <c r="J10" s="72"/>
      <c r="K10" s="71"/>
      <c r="L10" s="71"/>
      <c r="M10" s="71"/>
      <c r="N10" s="71"/>
      <c r="O10" s="71"/>
      <c r="P10" s="72"/>
      <c r="Q10" s="72"/>
      <c r="R10" s="72"/>
      <c r="S10" s="71"/>
      <c r="T10" s="71"/>
      <c r="U10" s="71"/>
      <c r="V10" s="71"/>
      <c r="W10" s="71"/>
      <c r="X10" s="72"/>
      <c r="Y10" s="72"/>
      <c r="Z10" s="72"/>
      <c r="AA10" s="71"/>
      <c r="AB10" s="71"/>
      <c r="AC10" s="71"/>
      <c r="AD10" s="71"/>
      <c r="AE10" s="71"/>
      <c r="AF10" s="72"/>
      <c r="AG10" s="72"/>
      <c r="AH10" s="72"/>
      <c r="AI10" s="71"/>
      <c r="AJ10" s="71"/>
      <c r="AK10" s="71"/>
      <c r="AL10" s="71"/>
      <c r="AM10" s="71"/>
      <c r="AN10" s="72"/>
      <c r="AO10" s="72"/>
      <c r="AP10" s="72"/>
    </row>
    <row r="11" spans="1:42" x14ac:dyDescent="0.35">
      <c r="A11" s="69"/>
      <c r="B11" s="73" t="s">
        <v>41</v>
      </c>
      <c r="C11" s="71"/>
      <c r="D11" s="71"/>
      <c r="E11" s="71"/>
      <c r="F11" s="71"/>
      <c r="G11" s="71"/>
      <c r="H11" s="72"/>
      <c r="I11" s="72"/>
      <c r="J11" s="72"/>
      <c r="K11" s="71"/>
      <c r="L11" s="71"/>
      <c r="M11" s="71"/>
      <c r="N11" s="71"/>
      <c r="O11" s="71"/>
      <c r="P11" s="72"/>
      <c r="Q11" s="72"/>
      <c r="R11" s="72"/>
      <c r="S11" s="71"/>
      <c r="T11" s="71"/>
      <c r="U11" s="71"/>
      <c r="V11" s="71"/>
      <c r="W11" s="71"/>
      <c r="X11" s="72"/>
      <c r="Y11" s="72"/>
      <c r="Z11" s="72"/>
      <c r="AA11" s="71"/>
      <c r="AB11" s="71"/>
      <c r="AC11" s="71"/>
      <c r="AD11" s="71"/>
      <c r="AE11" s="71"/>
      <c r="AF11" s="72"/>
      <c r="AG11" s="72"/>
      <c r="AH11" s="72"/>
      <c r="AI11" s="71"/>
      <c r="AJ11" s="71"/>
      <c r="AK11" s="71"/>
      <c r="AL11" s="71"/>
      <c r="AM11" s="71"/>
      <c r="AN11" s="72"/>
      <c r="AO11" s="72"/>
      <c r="AP11" s="72"/>
    </row>
    <row r="12" spans="1:42" x14ac:dyDescent="0.35">
      <c r="A12" s="74">
        <v>5</v>
      </c>
      <c r="B12" s="70" t="s">
        <v>42</v>
      </c>
      <c r="C12" s="71"/>
      <c r="D12" s="71"/>
      <c r="E12" s="71"/>
      <c r="F12" s="71"/>
      <c r="G12" s="71"/>
      <c r="H12" s="72"/>
      <c r="I12" s="72"/>
      <c r="J12" s="72"/>
      <c r="K12" s="71"/>
      <c r="L12" s="71"/>
      <c r="M12" s="71"/>
      <c r="N12" s="71"/>
      <c r="O12" s="71"/>
      <c r="P12" s="72"/>
      <c r="Q12" s="72"/>
      <c r="R12" s="72"/>
      <c r="S12" s="71"/>
      <c r="T12" s="71"/>
      <c r="U12" s="71"/>
      <c r="V12" s="71"/>
      <c r="W12" s="71"/>
      <c r="X12" s="72"/>
      <c r="Y12" s="72"/>
      <c r="Z12" s="72"/>
      <c r="AA12" s="71"/>
      <c r="AB12" s="71"/>
      <c r="AC12" s="71"/>
      <c r="AD12" s="71"/>
      <c r="AE12" s="71"/>
      <c r="AF12" s="72"/>
      <c r="AG12" s="72"/>
      <c r="AH12" s="72"/>
      <c r="AI12" s="71"/>
      <c r="AJ12" s="71"/>
      <c r="AK12" s="71"/>
      <c r="AL12" s="71"/>
      <c r="AM12" s="71"/>
      <c r="AN12" s="72"/>
      <c r="AO12" s="72"/>
      <c r="AP12" s="72"/>
    </row>
    <row r="13" spans="1:42" x14ac:dyDescent="0.35">
      <c r="A13" s="75">
        <v>6</v>
      </c>
      <c r="B13" s="70" t="s">
        <v>43</v>
      </c>
      <c r="C13" s="71"/>
      <c r="D13" s="71"/>
      <c r="E13" s="71"/>
      <c r="F13" s="71"/>
      <c r="G13" s="71"/>
      <c r="H13" s="72"/>
      <c r="I13" s="72"/>
      <c r="J13" s="72"/>
      <c r="K13" s="71"/>
      <c r="L13" s="71"/>
      <c r="M13" s="71"/>
      <c r="N13" s="71"/>
      <c r="O13" s="71"/>
      <c r="P13" s="72"/>
      <c r="Q13" s="72"/>
      <c r="R13" s="72"/>
      <c r="S13" s="71"/>
      <c r="T13" s="71"/>
      <c r="U13" s="71"/>
      <c r="V13" s="71"/>
      <c r="W13" s="71"/>
      <c r="X13" s="72"/>
      <c r="Y13" s="72"/>
      <c r="Z13" s="72"/>
      <c r="AA13" s="71"/>
      <c r="AB13" s="71"/>
      <c r="AC13" s="71"/>
      <c r="AD13" s="71"/>
      <c r="AE13" s="71"/>
      <c r="AF13" s="72"/>
      <c r="AG13" s="72"/>
      <c r="AH13" s="72"/>
      <c r="AI13" s="71"/>
      <c r="AJ13" s="71"/>
      <c r="AK13" s="71"/>
      <c r="AL13" s="71"/>
      <c r="AM13" s="71"/>
      <c r="AN13" s="72"/>
      <c r="AO13" s="72"/>
      <c r="AP13" s="72"/>
    </row>
    <row r="14" spans="1:42" x14ac:dyDescent="0.35">
      <c r="A14" s="76">
        <v>7</v>
      </c>
      <c r="B14" s="70" t="s">
        <v>44</v>
      </c>
      <c r="C14" s="71"/>
      <c r="D14" s="71"/>
      <c r="E14" s="71"/>
      <c r="F14" s="71"/>
      <c r="G14" s="71"/>
      <c r="H14" s="72"/>
      <c r="I14" s="72"/>
      <c r="J14" s="72"/>
      <c r="K14" s="71"/>
      <c r="L14" s="71"/>
      <c r="M14" s="71"/>
      <c r="N14" s="71"/>
      <c r="O14" s="71"/>
      <c r="P14" s="72"/>
      <c r="Q14" s="72"/>
      <c r="R14" s="72"/>
      <c r="S14" s="71"/>
      <c r="T14" s="71"/>
      <c r="U14" s="71"/>
      <c r="V14" s="71"/>
      <c r="W14" s="71"/>
      <c r="X14" s="72"/>
      <c r="Y14" s="72"/>
      <c r="Z14" s="72"/>
      <c r="AA14" s="71"/>
      <c r="AB14" s="71"/>
      <c r="AC14" s="71"/>
      <c r="AD14" s="71"/>
      <c r="AE14" s="71"/>
      <c r="AF14" s="72"/>
      <c r="AG14" s="72"/>
      <c r="AH14" s="72"/>
      <c r="AI14" s="71"/>
      <c r="AJ14" s="71"/>
      <c r="AK14" s="71"/>
      <c r="AL14" s="71"/>
      <c r="AM14" s="71"/>
      <c r="AN14" s="72"/>
      <c r="AO14" s="72"/>
      <c r="AP14" s="72"/>
    </row>
    <row r="15" spans="1:42" x14ac:dyDescent="0.35">
      <c r="A15" s="125">
        <v>8</v>
      </c>
      <c r="B15" s="70" t="s">
        <v>45</v>
      </c>
      <c r="C15" s="71"/>
      <c r="D15" s="71"/>
      <c r="E15" s="71"/>
      <c r="F15" s="71"/>
      <c r="G15" s="71"/>
      <c r="H15" s="72"/>
      <c r="I15" s="72"/>
      <c r="J15" s="72"/>
      <c r="K15" s="71"/>
      <c r="L15" s="71"/>
      <c r="M15" s="71"/>
      <c r="N15" s="71"/>
      <c r="O15" s="71"/>
      <c r="P15" s="72"/>
      <c r="Q15" s="72"/>
      <c r="R15" s="72"/>
      <c r="S15" s="71"/>
      <c r="T15" s="71"/>
      <c r="U15" s="71"/>
      <c r="V15" s="71"/>
      <c r="W15" s="71"/>
      <c r="X15" s="72"/>
      <c r="Y15" s="72"/>
      <c r="Z15" s="72"/>
      <c r="AA15" s="71"/>
      <c r="AB15" s="71"/>
      <c r="AC15" s="71"/>
      <c r="AD15" s="71"/>
      <c r="AE15" s="71"/>
      <c r="AF15" s="72"/>
      <c r="AG15" s="72"/>
      <c r="AH15" s="72"/>
      <c r="AI15" s="71"/>
      <c r="AJ15" s="71"/>
      <c r="AK15" s="71"/>
      <c r="AL15" s="71"/>
      <c r="AM15" s="71"/>
      <c r="AN15" s="72"/>
      <c r="AO15" s="72"/>
      <c r="AP15" s="72"/>
    </row>
    <row r="16" spans="1:42" x14ac:dyDescent="0.35">
      <c r="A16" s="126"/>
      <c r="B16" s="77" t="s">
        <v>46</v>
      </c>
      <c r="C16" s="71"/>
      <c r="D16" s="71"/>
      <c r="E16" s="71"/>
      <c r="F16" s="71"/>
      <c r="G16" s="71"/>
      <c r="H16" s="72"/>
      <c r="I16" s="72"/>
      <c r="J16" s="72"/>
      <c r="K16" s="71"/>
      <c r="L16" s="71"/>
      <c r="M16" s="71"/>
      <c r="N16" s="71"/>
      <c r="O16" s="71"/>
      <c r="P16" s="72"/>
      <c r="Q16" s="72"/>
      <c r="R16" s="72"/>
      <c r="S16" s="71"/>
      <c r="T16" s="71"/>
      <c r="U16" s="71"/>
      <c r="V16" s="71"/>
      <c r="W16" s="71"/>
      <c r="X16" s="72"/>
      <c r="Y16" s="72"/>
      <c r="Z16" s="72"/>
      <c r="AA16" s="71"/>
      <c r="AB16" s="71"/>
      <c r="AC16" s="71"/>
      <c r="AD16" s="71"/>
      <c r="AE16" s="71"/>
      <c r="AF16" s="72"/>
      <c r="AG16" s="72"/>
      <c r="AH16" s="72"/>
      <c r="AI16" s="71"/>
      <c r="AJ16" s="71"/>
      <c r="AK16" s="71"/>
      <c r="AL16" s="71"/>
      <c r="AM16" s="71"/>
      <c r="AN16" s="72"/>
      <c r="AO16" s="72"/>
      <c r="AP16" s="72"/>
    </row>
    <row r="17" spans="1:42" x14ac:dyDescent="0.35">
      <c r="A17" s="74">
        <v>9</v>
      </c>
      <c r="B17" s="70" t="s">
        <v>47</v>
      </c>
      <c r="C17" s="71"/>
      <c r="D17" s="71"/>
      <c r="E17" s="71"/>
      <c r="F17" s="71"/>
      <c r="G17" s="71"/>
      <c r="H17" s="72"/>
      <c r="I17" s="72"/>
      <c r="J17" s="72"/>
      <c r="K17" s="71"/>
      <c r="L17" s="71"/>
      <c r="M17" s="71"/>
      <c r="N17" s="71"/>
      <c r="O17" s="71"/>
      <c r="P17" s="72"/>
      <c r="Q17" s="72"/>
      <c r="R17" s="72"/>
      <c r="S17" s="71"/>
      <c r="T17" s="71"/>
      <c r="U17" s="71"/>
      <c r="V17" s="71"/>
      <c r="W17" s="71"/>
      <c r="X17" s="72"/>
      <c r="Y17" s="72"/>
      <c r="Z17" s="72"/>
      <c r="AA17" s="71"/>
      <c r="AB17" s="71"/>
      <c r="AC17" s="71"/>
      <c r="AD17" s="71"/>
      <c r="AE17" s="71"/>
      <c r="AF17" s="72"/>
      <c r="AG17" s="72"/>
      <c r="AH17" s="72"/>
      <c r="AI17" s="71"/>
      <c r="AJ17" s="71"/>
      <c r="AK17" s="71"/>
      <c r="AL17" s="71"/>
      <c r="AM17" s="71"/>
      <c r="AN17" s="72"/>
      <c r="AO17" s="72"/>
      <c r="AP17" s="72"/>
    </row>
    <row r="18" spans="1:42" x14ac:dyDescent="0.35">
      <c r="A18" s="76">
        <v>10</v>
      </c>
      <c r="B18" s="70" t="s">
        <v>48</v>
      </c>
      <c r="C18" s="71"/>
      <c r="D18" s="71"/>
      <c r="E18" s="71"/>
      <c r="F18" s="71"/>
      <c r="G18" s="71"/>
      <c r="H18" s="72"/>
      <c r="I18" s="72"/>
      <c r="J18" s="72"/>
      <c r="K18" s="71"/>
      <c r="L18" s="71"/>
      <c r="M18" s="71"/>
      <c r="N18" s="71"/>
      <c r="O18" s="71"/>
      <c r="P18" s="72"/>
      <c r="Q18" s="72"/>
      <c r="R18" s="72"/>
      <c r="S18" s="71"/>
      <c r="T18" s="71"/>
      <c r="U18" s="71"/>
      <c r="V18" s="71"/>
      <c r="W18" s="71"/>
      <c r="X18" s="72"/>
      <c r="Y18" s="72"/>
      <c r="Z18" s="72"/>
      <c r="AA18" s="71"/>
      <c r="AB18" s="71"/>
      <c r="AC18" s="71"/>
      <c r="AD18" s="71"/>
      <c r="AE18" s="71"/>
      <c r="AF18" s="72"/>
      <c r="AG18" s="72"/>
      <c r="AH18" s="72"/>
      <c r="AI18" s="71"/>
      <c r="AJ18" s="71"/>
      <c r="AK18" s="71"/>
      <c r="AL18" s="71"/>
      <c r="AM18" s="71"/>
      <c r="AN18" s="72"/>
      <c r="AO18" s="72"/>
      <c r="AP18" s="72"/>
    </row>
    <row r="19" spans="1:42" x14ac:dyDescent="0.35">
      <c r="A19" s="76"/>
      <c r="B19" s="70" t="s">
        <v>49</v>
      </c>
      <c r="C19" s="71"/>
      <c r="D19" s="71"/>
      <c r="E19" s="71"/>
      <c r="F19" s="71"/>
      <c r="G19" s="71"/>
      <c r="H19" s="72"/>
      <c r="I19" s="72"/>
      <c r="J19" s="72"/>
      <c r="K19" s="71"/>
      <c r="L19" s="71"/>
      <c r="M19" s="71"/>
      <c r="N19" s="71"/>
      <c r="O19" s="71"/>
      <c r="P19" s="72"/>
      <c r="Q19" s="72"/>
      <c r="R19" s="72"/>
      <c r="S19" s="71"/>
      <c r="T19" s="71"/>
      <c r="U19" s="71"/>
      <c r="V19" s="71"/>
      <c r="W19" s="71"/>
      <c r="X19" s="72"/>
      <c r="Y19" s="72"/>
      <c r="Z19" s="72"/>
      <c r="AA19" s="71"/>
      <c r="AB19" s="71"/>
      <c r="AC19" s="71"/>
      <c r="AD19" s="71"/>
      <c r="AE19" s="71"/>
      <c r="AF19" s="72"/>
      <c r="AG19" s="72"/>
      <c r="AH19" s="72"/>
      <c r="AI19" s="71"/>
      <c r="AJ19" s="71"/>
      <c r="AK19" s="71"/>
      <c r="AL19" s="71"/>
      <c r="AM19" s="71"/>
      <c r="AN19" s="72"/>
      <c r="AO19" s="72"/>
      <c r="AP19" s="72"/>
    </row>
    <row r="20" spans="1:42" x14ac:dyDescent="0.35">
      <c r="A20" s="69">
        <v>11</v>
      </c>
      <c r="B20" s="70" t="s">
        <v>50</v>
      </c>
      <c r="C20" s="71"/>
      <c r="D20" s="71"/>
      <c r="E20" s="71"/>
      <c r="F20" s="71"/>
      <c r="G20" s="71"/>
      <c r="H20" s="72"/>
      <c r="I20" s="72"/>
      <c r="J20" s="72"/>
      <c r="K20" s="71"/>
      <c r="L20" s="71"/>
      <c r="M20" s="71"/>
      <c r="N20" s="71"/>
      <c r="O20" s="71"/>
      <c r="P20" s="72"/>
      <c r="Q20" s="72"/>
      <c r="R20" s="72"/>
      <c r="S20" s="71"/>
      <c r="T20" s="71"/>
      <c r="U20" s="71"/>
      <c r="V20" s="71"/>
      <c r="W20" s="71"/>
      <c r="X20" s="72"/>
      <c r="Y20" s="72"/>
      <c r="Z20" s="72"/>
      <c r="AA20" s="71"/>
      <c r="AB20" s="71"/>
      <c r="AC20" s="71"/>
      <c r="AD20" s="71"/>
      <c r="AE20" s="71"/>
      <c r="AF20" s="72"/>
      <c r="AG20" s="72"/>
      <c r="AH20" s="72"/>
      <c r="AI20" s="71"/>
      <c r="AJ20" s="71"/>
      <c r="AK20" s="71"/>
      <c r="AL20" s="71"/>
      <c r="AM20" s="71"/>
      <c r="AN20" s="72"/>
      <c r="AO20" s="72"/>
      <c r="AP20" s="72"/>
    </row>
    <row r="21" spans="1:42" x14ac:dyDescent="0.35">
      <c r="A21" s="69"/>
      <c r="B21" s="70" t="s">
        <v>51</v>
      </c>
      <c r="C21" s="71"/>
      <c r="D21" s="71"/>
      <c r="E21" s="71"/>
      <c r="F21" s="71"/>
      <c r="G21" s="71"/>
      <c r="H21" s="72"/>
      <c r="I21" s="72"/>
      <c r="J21" s="72"/>
      <c r="K21" s="71"/>
      <c r="L21" s="71"/>
      <c r="M21" s="71"/>
      <c r="N21" s="71"/>
      <c r="O21" s="71"/>
      <c r="P21" s="72"/>
      <c r="Q21" s="72"/>
      <c r="R21" s="72"/>
      <c r="S21" s="71"/>
      <c r="T21" s="71"/>
      <c r="U21" s="71"/>
      <c r="V21" s="71"/>
      <c r="W21" s="71"/>
      <c r="X21" s="72"/>
      <c r="Y21" s="72"/>
      <c r="Z21" s="72"/>
      <c r="AA21" s="71"/>
      <c r="AB21" s="71"/>
      <c r="AC21" s="71"/>
      <c r="AD21" s="71"/>
      <c r="AE21" s="71"/>
      <c r="AF21" s="72"/>
      <c r="AG21" s="72"/>
      <c r="AH21" s="72"/>
      <c r="AI21" s="71"/>
      <c r="AJ21" s="71"/>
      <c r="AK21" s="71"/>
      <c r="AL21" s="71"/>
      <c r="AM21" s="71"/>
      <c r="AN21" s="72"/>
      <c r="AO21" s="72"/>
      <c r="AP21" s="72"/>
    </row>
    <row r="22" spans="1:42" x14ac:dyDescent="0.35">
      <c r="A22" s="69"/>
      <c r="B22" s="70" t="s">
        <v>52</v>
      </c>
      <c r="C22" s="71"/>
      <c r="D22" s="71"/>
      <c r="E22" s="71"/>
      <c r="F22" s="71"/>
      <c r="G22" s="71"/>
      <c r="H22" s="72"/>
      <c r="I22" s="72"/>
      <c r="J22" s="72"/>
      <c r="K22" s="71"/>
      <c r="L22" s="71"/>
      <c r="M22" s="71"/>
      <c r="N22" s="71"/>
      <c r="O22" s="71"/>
      <c r="P22" s="72"/>
      <c r="Q22" s="72"/>
      <c r="R22" s="72"/>
      <c r="S22" s="71"/>
      <c r="T22" s="71"/>
      <c r="U22" s="71"/>
      <c r="V22" s="71"/>
      <c r="W22" s="71"/>
      <c r="X22" s="72"/>
      <c r="Y22" s="72"/>
      <c r="Z22" s="72"/>
      <c r="AA22" s="71"/>
      <c r="AB22" s="71"/>
      <c r="AC22" s="71"/>
      <c r="AD22" s="71"/>
      <c r="AE22" s="71"/>
      <c r="AF22" s="72"/>
      <c r="AG22" s="72"/>
      <c r="AH22" s="72"/>
      <c r="AI22" s="71"/>
      <c r="AJ22" s="71"/>
      <c r="AK22" s="71"/>
      <c r="AL22" s="71"/>
      <c r="AM22" s="71"/>
      <c r="AN22" s="72"/>
      <c r="AO22" s="72"/>
      <c r="AP22" s="72"/>
    </row>
    <row r="23" spans="1:42" x14ac:dyDescent="0.35">
      <c r="A23" s="69">
        <v>12</v>
      </c>
      <c r="B23" s="70" t="s">
        <v>53</v>
      </c>
      <c r="C23" s="71"/>
      <c r="D23" s="71"/>
      <c r="E23" s="71"/>
      <c r="F23" s="71"/>
      <c r="G23" s="71"/>
      <c r="H23" s="72"/>
      <c r="I23" s="72"/>
      <c r="J23" s="72"/>
      <c r="K23" s="71"/>
      <c r="L23" s="71"/>
      <c r="M23" s="71"/>
      <c r="N23" s="71"/>
      <c r="O23" s="71"/>
      <c r="P23" s="72"/>
      <c r="Q23" s="72"/>
      <c r="R23" s="72"/>
      <c r="S23" s="71"/>
      <c r="T23" s="71"/>
      <c r="U23" s="71"/>
      <c r="V23" s="71"/>
      <c r="W23" s="71"/>
      <c r="X23" s="72"/>
      <c r="Y23" s="72"/>
      <c r="Z23" s="72"/>
      <c r="AA23" s="71"/>
      <c r="AB23" s="71"/>
      <c r="AC23" s="71"/>
      <c r="AD23" s="71"/>
      <c r="AE23" s="71"/>
      <c r="AF23" s="72"/>
      <c r="AG23" s="72"/>
      <c r="AH23" s="72"/>
      <c r="AI23" s="71"/>
      <c r="AJ23" s="71"/>
      <c r="AK23" s="71"/>
      <c r="AL23" s="71"/>
      <c r="AM23" s="71"/>
      <c r="AN23" s="72"/>
      <c r="AO23" s="72"/>
      <c r="AP23" s="72"/>
    </row>
    <row r="24" spans="1:42" x14ac:dyDescent="0.35">
      <c r="A24" s="125">
        <v>13</v>
      </c>
      <c r="B24" s="70" t="s">
        <v>54</v>
      </c>
      <c r="C24" s="71"/>
      <c r="D24" s="71"/>
      <c r="E24" s="71"/>
      <c r="F24" s="71"/>
      <c r="G24" s="71"/>
      <c r="H24" s="72"/>
      <c r="I24" s="72"/>
      <c r="J24" s="72"/>
      <c r="K24" s="71"/>
      <c r="L24" s="71"/>
      <c r="M24" s="71"/>
      <c r="N24" s="71"/>
      <c r="O24" s="71"/>
      <c r="P24" s="72"/>
      <c r="Q24" s="72"/>
      <c r="R24" s="72"/>
      <c r="S24" s="71"/>
      <c r="T24" s="71"/>
      <c r="U24" s="71"/>
      <c r="V24" s="71"/>
      <c r="W24" s="71"/>
      <c r="X24" s="72"/>
      <c r="Y24" s="72"/>
      <c r="Z24" s="72"/>
      <c r="AA24" s="71"/>
      <c r="AB24" s="71"/>
      <c r="AC24" s="71"/>
      <c r="AD24" s="71"/>
      <c r="AE24" s="71"/>
      <c r="AF24" s="72"/>
      <c r="AG24" s="72"/>
      <c r="AH24" s="72"/>
      <c r="AI24" s="71"/>
      <c r="AJ24" s="71"/>
      <c r="AK24" s="71"/>
      <c r="AL24" s="71"/>
      <c r="AM24" s="71"/>
      <c r="AN24" s="72"/>
      <c r="AO24" s="72"/>
      <c r="AP24" s="72"/>
    </row>
    <row r="25" spans="1:42" x14ac:dyDescent="0.35">
      <c r="A25" s="126"/>
      <c r="B25" s="70" t="s">
        <v>55</v>
      </c>
      <c r="C25" s="71"/>
      <c r="D25" s="71"/>
      <c r="E25" s="71"/>
      <c r="F25" s="71"/>
      <c r="G25" s="71"/>
      <c r="H25" s="72"/>
      <c r="I25" s="72"/>
      <c r="J25" s="72"/>
      <c r="K25" s="71"/>
      <c r="L25" s="71"/>
      <c r="M25" s="71"/>
      <c r="N25" s="71"/>
      <c r="O25" s="71"/>
      <c r="P25" s="72"/>
      <c r="Q25" s="72"/>
      <c r="R25" s="72"/>
      <c r="S25" s="71"/>
      <c r="T25" s="71"/>
      <c r="U25" s="71"/>
      <c r="V25" s="71"/>
      <c r="W25" s="71"/>
      <c r="X25" s="72"/>
      <c r="Y25" s="72"/>
      <c r="Z25" s="72"/>
      <c r="AA25" s="71"/>
      <c r="AB25" s="71"/>
      <c r="AC25" s="71"/>
      <c r="AD25" s="71"/>
      <c r="AE25" s="71"/>
      <c r="AF25" s="72"/>
      <c r="AG25" s="72"/>
      <c r="AH25" s="72"/>
      <c r="AI25" s="71"/>
      <c r="AJ25" s="71"/>
      <c r="AK25" s="71"/>
      <c r="AL25" s="71"/>
      <c r="AM25" s="71"/>
      <c r="AN25" s="72"/>
      <c r="AO25" s="72"/>
      <c r="AP25" s="72"/>
    </row>
    <row r="26" spans="1:42" ht="42" x14ac:dyDescent="0.35">
      <c r="A26" s="69">
        <v>14</v>
      </c>
      <c r="B26" s="73" t="s">
        <v>56</v>
      </c>
      <c r="C26" s="71"/>
      <c r="D26" s="71"/>
      <c r="E26" s="71"/>
      <c r="F26" s="71"/>
      <c r="G26" s="71"/>
      <c r="H26" s="72"/>
      <c r="I26" s="72"/>
      <c r="J26" s="72"/>
      <c r="K26" s="71"/>
      <c r="L26" s="71"/>
      <c r="M26" s="71"/>
      <c r="N26" s="71"/>
      <c r="O26" s="71"/>
      <c r="P26" s="72"/>
      <c r="Q26" s="72"/>
      <c r="R26" s="72"/>
      <c r="S26" s="71"/>
      <c r="T26" s="71"/>
      <c r="U26" s="71"/>
      <c r="V26" s="71"/>
      <c r="W26" s="71"/>
      <c r="X26" s="72"/>
      <c r="Y26" s="72"/>
      <c r="Z26" s="72"/>
      <c r="AA26" s="71"/>
      <c r="AB26" s="71"/>
      <c r="AC26" s="71"/>
      <c r="AD26" s="71"/>
      <c r="AE26" s="71"/>
      <c r="AF26" s="72"/>
      <c r="AG26" s="72"/>
      <c r="AH26" s="72"/>
      <c r="AI26" s="71"/>
      <c r="AJ26" s="71"/>
      <c r="AK26" s="71"/>
      <c r="AL26" s="71"/>
      <c r="AM26" s="71"/>
      <c r="AN26" s="72"/>
      <c r="AO26" s="72"/>
      <c r="AP26" s="72"/>
    </row>
    <row r="27" spans="1:42" x14ac:dyDescent="0.35">
      <c r="A27" s="69">
        <v>15</v>
      </c>
      <c r="B27" s="70" t="s">
        <v>57</v>
      </c>
      <c r="C27" s="71"/>
      <c r="D27" s="71"/>
      <c r="E27" s="71"/>
      <c r="F27" s="71"/>
      <c r="G27" s="71"/>
      <c r="H27" s="72"/>
      <c r="I27" s="72"/>
      <c r="J27" s="72"/>
      <c r="K27" s="71"/>
      <c r="L27" s="71"/>
      <c r="M27" s="71"/>
      <c r="N27" s="71"/>
      <c r="O27" s="71"/>
      <c r="P27" s="72"/>
      <c r="Q27" s="72"/>
      <c r="R27" s="72"/>
      <c r="S27" s="71"/>
      <c r="T27" s="71"/>
      <c r="U27" s="71"/>
      <c r="V27" s="71"/>
      <c r="W27" s="71"/>
      <c r="X27" s="72"/>
      <c r="Y27" s="72"/>
      <c r="Z27" s="72"/>
      <c r="AA27" s="71"/>
      <c r="AB27" s="71"/>
      <c r="AC27" s="71"/>
      <c r="AD27" s="71"/>
      <c r="AE27" s="71"/>
      <c r="AF27" s="72"/>
      <c r="AG27" s="72"/>
      <c r="AH27" s="72"/>
      <c r="AI27" s="71"/>
      <c r="AJ27" s="71"/>
      <c r="AK27" s="71"/>
      <c r="AL27" s="71"/>
      <c r="AM27" s="71"/>
      <c r="AN27" s="72"/>
      <c r="AO27" s="72"/>
      <c r="AP27" s="72"/>
    </row>
    <row r="28" spans="1:42" x14ac:dyDescent="0.35">
      <c r="A28" s="69"/>
      <c r="B28" s="70" t="s">
        <v>58</v>
      </c>
      <c r="C28" s="71"/>
      <c r="D28" s="71"/>
      <c r="E28" s="71"/>
      <c r="F28" s="71"/>
      <c r="G28" s="71"/>
      <c r="H28" s="72"/>
      <c r="I28" s="72"/>
      <c r="J28" s="72"/>
      <c r="K28" s="71"/>
      <c r="L28" s="71"/>
      <c r="M28" s="71"/>
      <c r="N28" s="71"/>
      <c r="O28" s="71"/>
      <c r="P28" s="72"/>
      <c r="Q28" s="72"/>
      <c r="R28" s="72"/>
      <c r="S28" s="71"/>
      <c r="T28" s="71"/>
      <c r="U28" s="71"/>
      <c r="V28" s="71"/>
      <c r="W28" s="71"/>
      <c r="X28" s="72"/>
      <c r="Y28" s="72"/>
      <c r="Z28" s="72"/>
      <c r="AA28" s="71"/>
      <c r="AB28" s="71"/>
      <c r="AC28" s="71"/>
      <c r="AD28" s="71"/>
      <c r="AE28" s="71"/>
      <c r="AF28" s="72"/>
      <c r="AG28" s="72"/>
      <c r="AH28" s="72"/>
      <c r="AI28" s="71"/>
      <c r="AJ28" s="71"/>
      <c r="AK28" s="71"/>
      <c r="AL28" s="71"/>
      <c r="AM28" s="71"/>
      <c r="AN28" s="72"/>
      <c r="AO28" s="72"/>
      <c r="AP28" s="72"/>
    </row>
    <row r="29" spans="1:42" x14ac:dyDescent="0.35">
      <c r="A29" s="69">
        <v>16</v>
      </c>
      <c r="B29" s="70" t="s">
        <v>59</v>
      </c>
      <c r="C29" s="71"/>
      <c r="D29" s="71"/>
      <c r="E29" s="71"/>
      <c r="F29" s="71"/>
      <c r="G29" s="71"/>
      <c r="H29" s="72"/>
      <c r="I29" s="72"/>
      <c r="J29" s="72"/>
      <c r="K29" s="71"/>
      <c r="L29" s="71"/>
      <c r="M29" s="71"/>
      <c r="N29" s="71"/>
      <c r="O29" s="71"/>
      <c r="P29" s="72"/>
      <c r="Q29" s="72"/>
      <c r="R29" s="72"/>
      <c r="S29" s="71"/>
      <c r="T29" s="71"/>
      <c r="U29" s="71"/>
      <c r="V29" s="71"/>
      <c r="W29" s="71"/>
      <c r="X29" s="72"/>
      <c r="Y29" s="72"/>
      <c r="Z29" s="72"/>
      <c r="AA29" s="71"/>
      <c r="AB29" s="71"/>
      <c r="AC29" s="71"/>
      <c r="AD29" s="71"/>
      <c r="AE29" s="71"/>
      <c r="AF29" s="72"/>
      <c r="AG29" s="72"/>
      <c r="AH29" s="72"/>
      <c r="AI29" s="71"/>
      <c r="AJ29" s="71"/>
      <c r="AK29" s="71"/>
      <c r="AL29" s="71"/>
      <c r="AM29" s="71"/>
      <c r="AN29" s="72"/>
      <c r="AO29" s="72"/>
      <c r="AP29" s="72"/>
    </row>
    <row r="30" spans="1:42" x14ac:dyDescent="0.35">
      <c r="A30" s="69">
        <v>17</v>
      </c>
      <c r="B30" s="70" t="s">
        <v>60</v>
      </c>
      <c r="C30" s="71"/>
      <c r="D30" s="71"/>
      <c r="E30" s="71"/>
      <c r="F30" s="71"/>
      <c r="G30" s="71"/>
      <c r="H30" s="72"/>
      <c r="I30" s="72"/>
      <c r="J30" s="72"/>
      <c r="K30" s="71"/>
      <c r="L30" s="71"/>
      <c r="M30" s="71"/>
      <c r="N30" s="71"/>
      <c r="O30" s="71"/>
      <c r="P30" s="72"/>
      <c r="Q30" s="72"/>
      <c r="R30" s="72"/>
      <c r="S30" s="71"/>
      <c r="T30" s="71"/>
      <c r="U30" s="71"/>
      <c r="V30" s="71"/>
      <c r="W30" s="71"/>
      <c r="X30" s="72"/>
      <c r="Y30" s="72"/>
      <c r="Z30" s="72"/>
      <c r="AA30" s="71"/>
      <c r="AB30" s="71"/>
      <c r="AC30" s="71"/>
      <c r="AD30" s="71"/>
      <c r="AE30" s="71"/>
      <c r="AF30" s="72"/>
      <c r="AG30" s="72"/>
      <c r="AH30" s="72"/>
      <c r="AI30" s="71"/>
      <c r="AJ30" s="71"/>
      <c r="AK30" s="71"/>
      <c r="AL30" s="71"/>
      <c r="AM30" s="71"/>
      <c r="AN30" s="72"/>
      <c r="AO30" s="72"/>
      <c r="AP30" s="72"/>
    </row>
    <row r="31" spans="1:42" x14ac:dyDescent="0.35">
      <c r="A31" s="69"/>
      <c r="B31" s="73" t="s">
        <v>61</v>
      </c>
      <c r="C31" s="71"/>
      <c r="D31" s="71"/>
      <c r="E31" s="71"/>
      <c r="F31" s="71"/>
      <c r="G31" s="71"/>
      <c r="H31" s="72"/>
      <c r="I31" s="72"/>
      <c r="J31" s="72"/>
      <c r="K31" s="71"/>
      <c r="L31" s="71"/>
      <c r="M31" s="71"/>
      <c r="N31" s="71"/>
      <c r="O31" s="71"/>
      <c r="P31" s="72"/>
      <c r="Q31" s="72"/>
      <c r="R31" s="72"/>
      <c r="S31" s="71"/>
      <c r="T31" s="71"/>
      <c r="U31" s="71"/>
      <c r="V31" s="71"/>
      <c r="W31" s="71"/>
      <c r="X31" s="72"/>
      <c r="Y31" s="72"/>
      <c r="Z31" s="72"/>
      <c r="AA31" s="71"/>
      <c r="AB31" s="71"/>
      <c r="AC31" s="71"/>
      <c r="AD31" s="71"/>
      <c r="AE31" s="71"/>
      <c r="AF31" s="72"/>
      <c r="AG31" s="72"/>
      <c r="AH31" s="72"/>
      <c r="AI31" s="71"/>
      <c r="AJ31" s="71"/>
      <c r="AK31" s="71"/>
      <c r="AL31" s="71"/>
      <c r="AM31" s="71"/>
      <c r="AN31" s="72"/>
      <c r="AO31" s="72"/>
      <c r="AP31" s="72"/>
    </row>
    <row r="32" spans="1:42" x14ac:dyDescent="0.35">
      <c r="A32" s="74">
        <v>18</v>
      </c>
      <c r="B32" s="70" t="s">
        <v>62</v>
      </c>
      <c r="C32" s="71"/>
      <c r="D32" s="71"/>
      <c r="E32" s="71"/>
      <c r="F32" s="71"/>
      <c r="G32" s="71"/>
      <c r="H32" s="72"/>
      <c r="I32" s="72"/>
      <c r="J32" s="72"/>
      <c r="K32" s="71"/>
      <c r="L32" s="71"/>
      <c r="M32" s="71"/>
      <c r="N32" s="71"/>
      <c r="O32" s="71"/>
      <c r="P32" s="72"/>
      <c r="Q32" s="72"/>
      <c r="R32" s="72"/>
      <c r="S32" s="71"/>
      <c r="T32" s="71"/>
      <c r="U32" s="71"/>
      <c r="V32" s="71"/>
      <c r="W32" s="71"/>
      <c r="X32" s="72"/>
      <c r="Y32" s="72"/>
      <c r="Z32" s="72"/>
      <c r="AA32" s="71"/>
      <c r="AB32" s="71"/>
      <c r="AC32" s="71"/>
      <c r="AD32" s="71"/>
      <c r="AE32" s="71"/>
      <c r="AF32" s="72"/>
      <c r="AG32" s="72"/>
      <c r="AH32" s="72"/>
      <c r="AI32" s="71"/>
      <c r="AJ32" s="71"/>
      <c r="AK32" s="71"/>
      <c r="AL32" s="71"/>
      <c r="AM32" s="71"/>
      <c r="AN32" s="72"/>
      <c r="AO32" s="72"/>
      <c r="AP32" s="72"/>
    </row>
    <row r="33" spans="1:42" x14ac:dyDescent="0.35">
      <c r="A33" s="76">
        <v>19</v>
      </c>
      <c r="B33" s="73" t="s">
        <v>63</v>
      </c>
      <c r="C33" s="71"/>
      <c r="D33" s="71"/>
      <c r="E33" s="71"/>
      <c r="F33" s="71"/>
      <c r="G33" s="71"/>
      <c r="H33" s="72"/>
      <c r="I33" s="72"/>
      <c r="J33" s="72"/>
      <c r="K33" s="71"/>
      <c r="L33" s="71"/>
      <c r="M33" s="71"/>
      <c r="N33" s="71"/>
      <c r="O33" s="71"/>
      <c r="P33" s="72"/>
      <c r="Q33" s="72"/>
      <c r="R33" s="72"/>
      <c r="S33" s="71"/>
      <c r="T33" s="71"/>
      <c r="U33" s="71"/>
      <c r="V33" s="71"/>
      <c r="W33" s="71"/>
      <c r="X33" s="72"/>
      <c r="Y33" s="72"/>
      <c r="Z33" s="72"/>
      <c r="AA33" s="71"/>
      <c r="AB33" s="71"/>
      <c r="AC33" s="71"/>
      <c r="AD33" s="71"/>
      <c r="AE33" s="71"/>
      <c r="AF33" s="72"/>
      <c r="AG33" s="72"/>
      <c r="AH33" s="72"/>
      <c r="AI33" s="71"/>
      <c r="AJ33" s="71"/>
      <c r="AK33" s="71"/>
      <c r="AL33" s="71"/>
      <c r="AM33" s="71"/>
      <c r="AN33" s="72"/>
      <c r="AO33" s="72"/>
      <c r="AP33" s="72"/>
    </row>
    <row r="34" spans="1:42" x14ac:dyDescent="0.35">
      <c r="A34" s="125">
        <v>20</v>
      </c>
      <c r="B34" s="70" t="s">
        <v>64</v>
      </c>
      <c r="C34" s="71"/>
      <c r="D34" s="71"/>
      <c r="E34" s="71"/>
      <c r="F34" s="71"/>
      <c r="G34" s="71"/>
      <c r="H34" s="72"/>
      <c r="I34" s="72"/>
      <c r="J34" s="72"/>
      <c r="K34" s="71"/>
      <c r="L34" s="71"/>
      <c r="M34" s="71"/>
      <c r="N34" s="71"/>
      <c r="O34" s="71"/>
      <c r="P34" s="72"/>
      <c r="Q34" s="72"/>
      <c r="R34" s="72"/>
      <c r="S34" s="71"/>
      <c r="T34" s="71"/>
      <c r="U34" s="71"/>
      <c r="V34" s="71"/>
      <c r="W34" s="71"/>
      <c r="X34" s="72"/>
      <c r="Y34" s="72"/>
      <c r="Z34" s="72"/>
      <c r="AA34" s="71"/>
      <c r="AB34" s="71"/>
      <c r="AC34" s="71"/>
      <c r="AD34" s="71"/>
      <c r="AE34" s="71"/>
      <c r="AF34" s="72"/>
      <c r="AG34" s="72"/>
      <c r="AH34" s="72"/>
      <c r="AI34" s="71"/>
      <c r="AJ34" s="71"/>
      <c r="AK34" s="71"/>
      <c r="AL34" s="71"/>
      <c r="AM34" s="71"/>
      <c r="AN34" s="72"/>
      <c r="AO34" s="72"/>
      <c r="AP34" s="72"/>
    </row>
    <row r="35" spans="1:42" x14ac:dyDescent="0.35">
      <c r="A35" s="126"/>
      <c r="B35" s="70" t="s">
        <v>65</v>
      </c>
      <c r="C35" s="71"/>
      <c r="D35" s="71"/>
      <c r="E35" s="71"/>
      <c r="F35" s="71"/>
      <c r="G35" s="71"/>
      <c r="H35" s="72"/>
      <c r="I35" s="72"/>
      <c r="J35" s="72"/>
      <c r="K35" s="71"/>
      <c r="L35" s="71"/>
      <c r="M35" s="71"/>
      <c r="N35" s="71"/>
      <c r="O35" s="71"/>
      <c r="P35" s="72"/>
      <c r="Q35" s="72"/>
      <c r="R35" s="72"/>
      <c r="S35" s="71"/>
      <c r="T35" s="71"/>
      <c r="U35" s="71"/>
      <c r="V35" s="71"/>
      <c r="W35" s="71"/>
      <c r="X35" s="72"/>
      <c r="Y35" s="72"/>
      <c r="Z35" s="72"/>
      <c r="AA35" s="71"/>
      <c r="AB35" s="71"/>
      <c r="AC35" s="71"/>
      <c r="AD35" s="71"/>
      <c r="AE35" s="71"/>
      <c r="AF35" s="72"/>
      <c r="AG35" s="72"/>
      <c r="AH35" s="72"/>
      <c r="AI35" s="71"/>
      <c r="AJ35" s="71"/>
      <c r="AK35" s="71"/>
      <c r="AL35" s="71"/>
      <c r="AM35" s="71"/>
      <c r="AN35" s="72"/>
      <c r="AO35" s="72"/>
      <c r="AP35" s="72"/>
    </row>
    <row r="36" spans="1:42" x14ac:dyDescent="0.35">
      <c r="A36" s="69">
        <v>21</v>
      </c>
      <c r="B36" s="70" t="s">
        <v>66</v>
      </c>
      <c r="C36" s="71"/>
      <c r="D36" s="71"/>
      <c r="E36" s="71"/>
      <c r="F36" s="71"/>
      <c r="G36" s="71"/>
      <c r="H36" s="72"/>
      <c r="I36" s="72"/>
      <c r="J36" s="72"/>
      <c r="K36" s="71"/>
      <c r="L36" s="71"/>
      <c r="M36" s="71"/>
      <c r="N36" s="71"/>
      <c r="O36" s="71"/>
      <c r="P36" s="72"/>
      <c r="Q36" s="72"/>
      <c r="R36" s="72"/>
      <c r="S36" s="71"/>
      <c r="T36" s="71"/>
      <c r="U36" s="71"/>
      <c r="V36" s="71"/>
      <c r="W36" s="71"/>
      <c r="X36" s="72"/>
      <c r="Y36" s="72"/>
      <c r="Z36" s="72"/>
      <c r="AA36" s="71"/>
      <c r="AB36" s="71"/>
      <c r="AC36" s="71"/>
      <c r="AD36" s="71"/>
      <c r="AE36" s="71"/>
      <c r="AF36" s="72"/>
      <c r="AG36" s="72"/>
      <c r="AH36" s="72"/>
      <c r="AI36" s="71"/>
      <c r="AJ36" s="71"/>
      <c r="AK36" s="71"/>
      <c r="AL36" s="71"/>
      <c r="AM36" s="71"/>
      <c r="AN36" s="72"/>
      <c r="AO36" s="72"/>
      <c r="AP36" s="72"/>
    </row>
    <row r="37" spans="1:42" x14ac:dyDescent="0.35">
      <c r="A37" s="69"/>
      <c r="B37" s="70" t="s">
        <v>67</v>
      </c>
      <c r="C37" s="71"/>
      <c r="D37" s="71"/>
      <c r="E37" s="71"/>
      <c r="F37" s="71"/>
      <c r="G37" s="71"/>
      <c r="H37" s="72"/>
      <c r="I37" s="72"/>
      <c r="J37" s="72"/>
      <c r="K37" s="71"/>
      <c r="L37" s="71"/>
      <c r="M37" s="71"/>
      <c r="N37" s="71"/>
      <c r="O37" s="71"/>
      <c r="P37" s="72"/>
      <c r="Q37" s="72"/>
      <c r="R37" s="72"/>
      <c r="S37" s="71"/>
      <c r="T37" s="71"/>
      <c r="U37" s="71"/>
      <c r="V37" s="71"/>
      <c r="W37" s="71"/>
      <c r="X37" s="72"/>
      <c r="Y37" s="72"/>
      <c r="Z37" s="72"/>
      <c r="AA37" s="71"/>
      <c r="AB37" s="71"/>
      <c r="AC37" s="71"/>
      <c r="AD37" s="71"/>
      <c r="AE37" s="71"/>
      <c r="AF37" s="72"/>
      <c r="AG37" s="72"/>
      <c r="AH37" s="72"/>
      <c r="AI37" s="71"/>
      <c r="AJ37" s="71"/>
      <c r="AK37" s="71"/>
      <c r="AL37" s="71"/>
      <c r="AM37" s="71"/>
      <c r="AN37" s="72"/>
      <c r="AO37" s="72"/>
      <c r="AP37" s="72"/>
    </row>
    <row r="38" spans="1:42" x14ac:dyDescent="0.35">
      <c r="A38" s="69"/>
      <c r="B38" s="70" t="s">
        <v>68</v>
      </c>
      <c r="C38" s="71"/>
      <c r="D38" s="71"/>
      <c r="E38" s="71"/>
      <c r="F38" s="71"/>
      <c r="G38" s="71"/>
      <c r="H38" s="72"/>
      <c r="I38" s="72"/>
      <c r="J38" s="72"/>
      <c r="K38" s="71"/>
      <c r="L38" s="71"/>
      <c r="M38" s="71"/>
      <c r="N38" s="71"/>
      <c r="O38" s="71"/>
      <c r="P38" s="72"/>
      <c r="Q38" s="72"/>
      <c r="R38" s="72"/>
      <c r="S38" s="71"/>
      <c r="T38" s="71"/>
      <c r="U38" s="71"/>
      <c r="V38" s="71"/>
      <c r="W38" s="71"/>
      <c r="X38" s="72"/>
      <c r="Y38" s="72"/>
      <c r="Z38" s="72"/>
      <c r="AA38" s="71"/>
      <c r="AB38" s="71"/>
      <c r="AC38" s="71"/>
      <c r="AD38" s="71"/>
      <c r="AE38" s="71"/>
      <c r="AF38" s="72"/>
      <c r="AG38" s="72"/>
      <c r="AH38" s="72"/>
      <c r="AI38" s="71"/>
      <c r="AJ38" s="71"/>
      <c r="AK38" s="71"/>
      <c r="AL38" s="71"/>
      <c r="AM38" s="71"/>
      <c r="AN38" s="72"/>
      <c r="AO38" s="72"/>
      <c r="AP38" s="72"/>
    </row>
    <row r="39" spans="1:42" x14ac:dyDescent="0.35">
      <c r="A39" s="125">
        <v>22</v>
      </c>
      <c r="B39" s="73" t="s">
        <v>69</v>
      </c>
      <c r="C39" s="71"/>
      <c r="D39" s="71"/>
      <c r="E39" s="71"/>
      <c r="F39" s="71"/>
      <c r="G39" s="71"/>
      <c r="H39" s="72"/>
      <c r="I39" s="72"/>
      <c r="J39" s="72"/>
      <c r="K39" s="71"/>
      <c r="L39" s="71"/>
      <c r="M39" s="71"/>
      <c r="N39" s="71"/>
      <c r="O39" s="71"/>
      <c r="P39" s="72"/>
      <c r="Q39" s="72"/>
      <c r="R39" s="72"/>
      <c r="S39" s="71"/>
      <c r="T39" s="71"/>
      <c r="U39" s="71"/>
      <c r="V39" s="71"/>
      <c r="W39" s="71"/>
      <c r="X39" s="72"/>
      <c r="Y39" s="72"/>
      <c r="Z39" s="72"/>
      <c r="AA39" s="71"/>
      <c r="AB39" s="71"/>
      <c r="AC39" s="71"/>
      <c r="AD39" s="71"/>
      <c r="AE39" s="71"/>
      <c r="AF39" s="72"/>
      <c r="AG39" s="72"/>
      <c r="AH39" s="72"/>
      <c r="AI39" s="71"/>
      <c r="AJ39" s="71"/>
      <c r="AK39" s="71"/>
      <c r="AL39" s="71"/>
      <c r="AM39" s="71"/>
      <c r="AN39" s="72"/>
      <c r="AO39" s="72"/>
      <c r="AP39" s="72"/>
    </row>
    <row r="40" spans="1:42" x14ac:dyDescent="0.35">
      <c r="A40" s="126"/>
      <c r="B40" s="70" t="s">
        <v>70</v>
      </c>
      <c r="C40" s="71"/>
      <c r="D40" s="71"/>
      <c r="E40" s="71"/>
      <c r="F40" s="71"/>
      <c r="G40" s="71"/>
      <c r="H40" s="72"/>
      <c r="I40" s="72"/>
      <c r="J40" s="72"/>
      <c r="K40" s="71"/>
      <c r="L40" s="71"/>
      <c r="M40" s="71"/>
      <c r="N40" s="71"/>
      <c r="O40" s="71"/>
      <c r="P40" s="72"/>
      <c r="Q40" s="72"/>
      <c r="R40" s="72"/>
      <c r="S40" s="71"/>
      <c r="T40" s="71"/>
      <c r="U40" s="71"/>
      <c r="V40" s="71"/>
      <c r="W40" s="71"/>
      <c r="X40" s="72"/>
      <c r="Y40" s="72"/>
      <c r="Z40" s="72"/>
      <c r="AA40" s="71"/>
      <c r="AB40" s="71"/>
      <c r="AC40" s="71"/>
      <c r="AD40" s="71"/>
      <c r="AE40" s="71"/>
      <c r="AF40" s="72"/>
      <c r="AG40" s="72"/>
      <c r="AH40" s="72"/>
      <c r="AI40" s="71"/>
      <c r="AJ40" s="71"/>
      <c r="AK40" s="71"/>
      <c r="AL40" s="71"/>
      <c r="AM40" s="71"/>
      <c r="AN40" s="72"/>
      <c r="AO40" s="72"/>
      <c r="AP40" s="72"/>
    </row>
    <row r="41" spans="1:42" x14ac:dyDescent="0.35">
      <c r="A41" s="69">
        <v>23</v>
      </c>
      <c r="B41" s="73" t="s">
        <v>71</v>
      </c>
      <c r="C41" s="71"/>
      <c r="D41" s="71"/>
      <c r="E41" s="71"/>
      <c r="F41" s="71"/>
      <c r="G41" s="71"/>
      <c r="H41" s="72"/>
      <c r="I41" s="72"/>
      <c r="J41" s="72"/>
      <c r="K41" s="71"/>
      <c r="L41" s="71"/>
      <c r="M41" s="71"/>
      <c r="N41" s="71"/>
      <c r="O41" s="71"/>
      <c r="P41" s="72"/>
      <c r="Q41" s="72"/>
      <c r="R41" s="72"/>
      <c r="S41" s="71"/>
      <c r="T41" s="71"/>
      <c r="U41" s="71"/>
      <c r="V41" s="71"/>
      <c r="W41" s="71"/>
      <c r="X41" s="72"/>
      <c r="Y41" s="72"/>
      <c r="Z41" s="72"/>
      <c r="AA41" s="71"/>
      <c r="AB41" s="71"/>
      <c r="AC41" s="71"/>
      <c r="AD41" s="71"/>
      <c r="AE41" s="71"/>
      <c r="AF41" s="72"/>
      <c r="AG41" s="72"/>
      <c r="AH41" s="72"/>
      <c r="AI41" s="71"/>
      <c r="AJ41" s="71"/>
      <c r="AK41" s="71"/>
      <c r="AL41" s="71"/>
      <c r="AM41" s="71"/>
      <c r="AN41" s="72"/>
      <c r="AO41" s="72"/>
      <c r="AP41" s="72"/>
    </row>
    <row r="42" spans="1:42" x14ac:dyDescent="0.35">
      <c r="A42" s="125">
        <v>24</v>
      </c>
      <c r="B42" s="70" t="s">
        <v>72</v>
      </c>
      <c r="C42" s="71"/>
      <c r="D42" s="71"/>
      <c r="E42" s="71"/>
      <c r="F42" s="71"/>
      <c r="G42" s="71"/>
      <c r="H42" s="72"/>
      <c r="I42" s="72"/>
      <c r="J42" s="72"/>
      <c r="K42" s="71"/>
      <c r="L42" s="71"/>
      <c r="M42" s="71"/>
      <c r="N42" s="71"/>
      <c r="O42" s="71"/>
      <c r="P42" s="72"/>
      <c r="Q42" s="72"/>
      <c r="R42" s="72"/>
      <c r="S42" s="71"/>
      <c r="T42" s="71"/>
      <c r="U42" s="71"/>
      <c r="V42" s="71"/>
      <c r="W42" s="71"/>
      <c r="X42" s="72"/>
      <c r="Y42" s="72"/>
      <c r="Z42" s="72"/>
      <c r="AA42" s="71"/>
      <c r="AB42" s="71"/>
      <c r="AC42" s="71"/>
      <c r="AD42" s="71"/>
      <c r="AE42" s="71"/>
      <c r="AF42" s="72"/>
      <c r="AG42" s="72"/>
      <c r="AH42" s="72"/>
      <c r="AI42" s="71"/>
      <c r="AJ42" s="71"/>
      <c r="AK42" s="71"/>
      <c r="AL42" s="71"/>
      <c r="AM42" s="71"/>
      <c r="AN42" s="72"/>
      <c r="AO42" s="72"/>
      <c r="AP42" s="72"/>
    </row>
    <row r="43" spans="1:42" x14ac:dyDescent="0.35">
      <c r="A43" s="127"/>
      <c r="B43" s="70" t="s">
        <v>73</v>
      </c>
      <c r="C43" s="71"/>
      <c r="D43" s="71"/>
      <c r="E43" s="71"/>
      <c r="F43" s="71"/>
      <c r="G43" s="71"/>
      <c r="H43" s="72"/>
      <c r="I43" s="72"/>
      <c r="J43" s="72"/>
      <c r="K43" s="71"/>
      <c r="L43" s="71"/>
      <c r="M43" s="71"/>
      <c r="N43" s="71"/>
      <c r="O43" s="71"/>
      <c r="P43" s="72"/>
      <c r="Q43" s="72"/>
      <c r="R43" s="72"/>
      <c r="S43" s="71"/>
      <c r="T43" s="71"/>
      <c r="U43" s="71"/>
      <c r="V43" s="71"/>
      <c r="W43" s="71"/>
      <c r="X43" s="72"/>
      <c r="Y43" s="72"/>
      <c r="Z43" s="72"/>
      <c r="AA43" s="71"/>
      <c r="AB43" s="71"/>
      <c r="AC43" s="71"/>
      <c r="AD43" s="71"/>
      <c r="AE43" s="71"/>
      <c r="AF43" s="72"/>
      <c r="AG43" s="72"/>
      <c r="AH43" s="72"/>
      <c r="AI43" s="71"/>
      <c r="AJ43" s="71"/>
      <c r="AK43" s="71"/>
      <c r="AL43" s="71"/>
      <c r="AM43" s="71"/>
      <c r="AN43" s="72"/>
      <c r="AO43" s="72"/>
      <c r="AP43" s="72"/>
    </row>
    <row r="44" spans="1:42" x14ac:dyDescent="0.35">
      <c r="A44" s="126"/>
      <c r="B44" s="70" t="s">
        <v>74</v>
      </c>
      <c r="C44" s="71"/>
      <c r="D44" s="71"/>
      <c r="E44" s="71"/>
      <c r="F44" s="71"/>
      <c r="G44" s="71"/>
      <c r="H44" s="72"/>
      <c r="I44" s="72"/>
      <c r="J44" s="72"/>
      <c r="K44" s="71"/>
      <c r="L44" s="71"/>
      <c r="M44" s="71"/>
      <c r="N44" s="71"/>
      <c r="O44" s="71"/>
      <c r="P44" s="72"/>
      <c r="Q44" s="72"/>
      <c r="R44" s="72"/>
      <c r="S44" s="71"/>
      <c r="T44" s="71"/>
      <c r="U44" s="71"/>
      <c r="V44" s="71"/>
      <c r="W44" s="71"/>
      <c r="X44" s="72"/>
      <c r="Y44" s="72"/>
      <c r="Z44" s="72"/>
      <c r="AA44" s="71"/>
      <c r="AB44" s="71"/>
      <c r="AC44" s="71"/>
      <c r="AD44" s="71"/>
      <c r="AE44" s="71"/>
      <c r="AF44" s="72"/>
      <c r="AG44" s="72"/>
      <c r="AH44" s="72"/>
      <c r="AI44" s="71"/>
      <c r="AJ44" s="71"/>
      <c r="AK44" s="71"/>
      <c r="AL44" s="71"/>
      <c r="AM44" s="71"/>
      <c r="AN44" s="72"/>
      <c r="AO44" s="72"/>
      <c r="AP44" s="72"/>
    </row>
    <row r="45" spans="1:42" x14ac:dyDescent="0.35">
      <c r="A45" s="69">
        <v>25</v>
      </c>
      <c r="B45" s="70" t="s">
        <v>75</v>
      </c>
      <c r="C45" s="71"/>
      <c r="D45" s="71"/>
      <c r="E45" s="71"/>
      <c r="F45" s="71"/>
      <c r="G45" s="71"/>
      <c r="H45" s="72"/>
      <c r="I45" s="72"/>
      <c r="J45" s="72"/>
      <c r="K45" s="71"/>
      <c r="L45" s="71"/>
      <c r="M45" s="71"/>
      <c r="N45" s="71"/>
      <c r="O45" s="71"/>
      <c r="P45" s="72"/>
      <c r="Q45" s="72"/>
      <c r="R45" s="72"/>
      <c r="S45" s="71"/>
      <c r="T45" s="71"/>
      <c r="U45" s="71"/>
      <c r="V45" s="71"/>
      <c r="W45" s="71"/>
      <c r="X45" s="72"/>
      <c r="Y45" s="72"/>
      <c r="Z45" s="72"/>
      <c r="AA45" s="71"/>
      <c r="AB45" s="71"/>
      <c r="AC45" s="71"/>
      <c r="AD45" s="71"/>
      <c r="AE45" s="71"/>
      <c r="AF45" s="72"/>
      <c r="AG45" s="72"/>
      <c r="AH45" s="72"/>
      <c r="AI45" s="71"/>
      <c r="AJ45" s="71"/>
      <c r="AK45" s="71"/>
      <c r="AL45" s="71"/>
      <c r="AM45" s="71"/>
      <c r="AN45" s="72"/>
      <c r="AO45" s="72"/>
      <c r="AP45" s="72"/>
    </row>
    <row r="46" spans="1:42" x14ac:dyDescent="0.35">
      <c r="A46" s="128" t="s">
        <v>94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</row>
    <row r="47" spans="1:42" ht="42" x14ac:dyDescent="0.35">
      <c r="A47" s="78">
        <v>1</v>
      </c>
      <c r="B47" s="79" t="s">
        <v>95</v>
      </c>
      <c r="C47" s="80"/>
      <c r="D47" s="80"/>
      <c r="E47" s="80"/>
      <c r="F47" s="80"/>
      <c r="G47" s="80"/>
      <c r="H47" s="81"/>
      <c r="I47" s="81"/>
      <c r="J47" s="81"/>
      <c r="K47" s="80"/>
      <c r="L47" s="80"/>
      <c r="M47" s="80"/>
      <c r="N47" s="80"/>
      <c r="O47" s="80"/>
      <c r="P47" s="81"/>
      <c r="Q47" s="81"/>
      <c r="R47" s="81"/>
      <c r="S47" s="80"/>
      <c r="T47" s="80"/>
      <c r="U47" s="80"/>
      <c r="V47" s="80"/>
      <c r="W47" s="80"/>
      <c r="X47" s="81"/>
      <c r="Y47" s="81"/>
      <c r="Z47" s="81"/>
      <c r="AA47" s="80"/>
      <c r="AB47" s="80"/>
      <c r="AC47" s="80"/>
      <c r="AD47" s="80"/>
      <c r="AE47" s="80"/>
      <c r="AF47" s="81"/>
      <c r="AG47" s="81"/>
      <c r="AH47" s="81"/>
      <c r="AI47" s="80"/>
      <c r="AJ47" s="80"/>
      <c r="AK47" s="80"/>
      <c r="AL47" s="80"/>
      <c r="AM47" s="80"/>
      <c r="AN47" s="81"/>
      <c r="AO47" s="81"/>
      <c r="AP47" s="81"/>
    </row>
    <row r="48" spans="1:42" x14ac:dyDescent="0.35">
      <c r="A48" s="78">
        <v>2</v>
      </c>
      <c r="B48" s="82" t="s">
        <v>96</v>
      </c>
      <c r="C48" s="80"/>
      <c r="D48" s="80"/>
      <c r="E48" s="80"/>
      <c r="F48" s="80"/>
      <c r="G48" s="80"/>
      <c r="H48" s="81"/>
      <c r="I48" s="81"/>
      <c r="J48" s="81"/>
      <c r="K48" s="80"/>
      <c r="L48" s="80"/>
      <c r="M48" s="80"/>
      <c r="N48" s="80"/>
      <c r="O48" s="80"/>
      <c r="P48" s="81"/>
      <c r="Q48" s="81"/>
      <c r="R48" s="81"/>
      <c r="S48" s="80"/>
      <c r="T48" s="80"/>
      <c r="U48" s="80"/>
      <c r="V48" s="80"/>
      <c r="W48" s="80"/>
      <c r="X48" s="81"/>
      <c r="Y48" s="81"/>
      <c r="Z48" s="81"/>
      <c r="AA48" s="80"/>
      <c r="AB48" s="80"/>
      <c r="AC48" s="80"/>
      <c r="AD48" s="80"/>
      <c r="AE48" s="80"/>
      <c r="AF48" s="81"/>
      <c r="AG48" s="81"/>
      <c r="AH48" s="81"/>
      <c r="AI48" s="80"/>
      <c r="AJ48" s="80"/>
      <c r="AK48" s="80"/>
      <c r="AL48" s="80"/>
      <c r="AM48" s="80"/>
      <c r="AN48" s="81"/>
      <c r="AO48" s="81"/>
      <c r="AP48" s="81"/>
    </row>
    <row r="49" spans="1:42" ht="42" x14ac:dyDescent="0.35">
      <c r="A49" s="78">
        <v>3</v>
      </c>
      <c r="B49" s="79" t="s">
        <v>97</v>
      </c>
      <c r="C49" s="80"/>
      <c r="D49" s="80"/>
      <c r="E49" s="80"/>
      <c r="F49" s="80"/>
      <c r="G49" s="80"/>
      <c r="H49" s="81"/>
      <c r="I49" s="81"/>
      <c r="J49" s="81"/>
      <c r="K49" s="80"/>
      <c r="L49" s="80"/>
      <c r="M49" s="80"/>
      <c r="N49" s="80"/>
      <c r="O49" s="80"/>
      <c r="P49" s="81"/>
      <c r="Q49" s="81"/>
      <c r="R49" s="81"/>
      <c r="S49" s="80"/>
      <c r="T49" s="80"/>
      <c r="U49" s="80"/>
      <c r="V49" s="80"/>
      <c r="W49" s="80"/>
      <c r="X49" s="81"/>
      <c r="Y49" s="81"/>
      <c r="Z49" s="81"/>
      <c r="AA49" s="80"/>
      <c r="AB49" s="80"/>
      <c r="AC49" s="80"/>
      <c r="AD49" s="80"/>
      <c r="AE49" s="80"/>
      <c r="AF49" s="81"/>
      <c r="AG49" s="81"/>
      <c r="AH49" s="81"/>
      <c r="AI49" s="80"/>
      <c r="AJ49" s="80"/>
      <c r="AK49" s="80"/>
      <c r="AL49" s="80"/>
      <c r="AM49" s="80"/>
      <c r="AN49" s="81"/>
      <c r="AO49" s="81"/>
      <c r="AP49" s="81"/>
    </row>
    <row r="50" spans="1:42" x14ac:dyDescent="0.35">
      <c r="A50" s="78">
        <v>4</v>
      </c>
      <c r="B50" s="82" t="s">
        <v>98</v>
      </c>
      <c r="C50" s="80"/>
      <c r="D50" s="80"/>
      <c r="E50" s="80"/>
      <c r="F50" s="80"/>
      <c r="G50" s="80"/>
      <c r="H50" s="81"/>
      <c r="I50" s="81"/>
      <c r="J50" s="81"/>
      <c r="K50" s="80"/>
      <c r="L50" s="80"/>
      <c r="M50" s="80"/>
      <c r="N50" s="80"/>
      <c r="O50" s="80"/>
      <c r="P50" s="81"/>
      <c r="Q50" s="81"/>
      <c r="R50" s="81"/>
      <c r="S50" s="80"/>
      <c r="T50" s="80"/>
      <c r="U50" s="80"/>
      <c r="V50" s="80"/>
      <c r="W50" s="80"/>
      <c r="X50" s="81"/>
      <c r="Y50" s="81"/>
      <c r="Z50" s="81"/>
      <c r="AA50" s="80"/>
      <c r="AB50" s="80"/>
      <c r="AC50" s="80"/>
      <c r="AD50" s="80"/>
      <c r="AE50" s="80"/>
      <c r="AF50" s="81"/>
      <c r="AG50" s="81"/>
      <c r="AH50" s="81"/>
      <c r="AI50" s="80"/>
      <c r="AJ50" s="80"/>
      <c r="AK50" s="80"/>
      <c r="AL50" s="80"/>
      <c r="AM50" s="80"/>
      <c r="AN50" s="81"/>
      <c r="AO50" s="81"/>
      <c r="AP50" s="81"/>
    </row>
    <row r="51" spans="1:42" x14ac:dyDescent="0.35">
      <c r="A51" s="78">
        <v>5</v>
      </c>
      <c r="B51" s="82" t="s">
        <v>99</v>
      </c>
      <c r="C51" s="80"/>
      <c r="D51" s="80"/>
      <c r="E51" s="80"/>
      <c r="F51" s="80"/>
      <c r="G51" s="80"/>
      <c r="H51" s="81"/>
      <c r="I51" s="81"/>
      <c r="J51" s="81"/>
      <c r="K51" s="80"/>
      <c r="L51" s="80"/>
      <c r="M51" s="80"/>
      <c r="N51" s="80"/>
      <c r="O51" s="80"/>
      <c r="P51" s="81"/>
      <c r="Q51" s="81"/>
      <c r="R51" s="81"/>
      <c r="S51" s="80"/>
      <c r="T51" s="80"/>
      <c r="U51" s="80"/>
      <c r="V51" s="80"/>
      <c r="W51" s="80"/>
      <c r="X51" s="81"/>
      <c r="Y51" s="81"/>
      <c r="Z51" s="81"/>
      <c r="AA51" s="80"/>
      <c r="AB51" s="80"/>
      <c r="AC51" s="80"/>
      <c r="AD51" s="80"/>
      <c r="AE51" s="80"/>
      <c r="AF51" s="81"/>
      <c r="AG51" s="81"/>
      <c r="AH51" s="81"/>
      <c r="AI51" s="80"/>
      <c r="AJ51" s="80"/>
      <c r="AK51" s="80"/>
      <c r="AL51" s="80"/>
      <c r="AM51" s="80"/>
      <c r="AN51" s="81"/>
      <c r="AO51" s="81"/>
      <c r="AP51" s="81"/>
    </row>
    <row r="52" spans="1:42" x14ac:dyDescent="0.35">
      <c r="A52" s="78">
        <v>6</v>
      </c>
      <c r="B52" s="82" t="s">
        <v>100</v>
      </c>
      <c r="C52" s="80"/>
      <c r="D52" s="80"/>
      <c r="E52" s="80"/>
      <c r="F52" s="80"/>
      <c r="G52" s="80"/>
      <c r="H52" s="81"/>
      <c r="I52" s="81"/>
      <c r="J52" s="81"/>
      <c r="K52" s="80"/>
      <c r="L52" s="80"/>
      <c r="M52" s="80"/>
      <c r="N52" s="80"/>
      <c r="O52" s="80"/>
      <c r="P52" s="81"/>
      <c r="Q52" s="81"/>
      <c r="R52" s="81"/>
      <c r="S52" s="80"/>
      <c r="T52" s="80"/>
      <c r="U52" s="80"/>
      <c r="V52" s="80"/>
      <c r="W52" s="80"/>
      <c r="X52" s="81"/>
      <c r="Y52" s="81"/>
      <c r="Z52" s="81"/>
      <c r="AA52" s="80"/>
      <c r="AB52" s="80"/>
      <c r="AC52" s="80"/>
      <c r="AD52" s="80"/>
      <c r="AE52" s="80"/>
      <c r="AF52" s="81"/>
      <c r="AG52" s="81"/>
      <c r="AH52" s="81"/>
      <c r="AI52" s="80"/>
      <c r="AJ52" s="80"/>
      <c r="AK52" s="80"/>
      <c r="AL52" s="80"/>
      <c r="AM52" s="80"/>
      <c r="AN52" s="81"/>
      <c r="AO52" s="81"/>
      <c r="AP52" s="81"/>
    </row>
    <row r="53" spans="1:42" x14ac:dyDescent="0.35">
      <c r="A53" s="78">
        <v>7</v>
      </c>
      <c r="B53" s="82" t="s">
        <v>101</v>
      </c>
      <c r="C53" s="80"/>
      <c r="D53" s="80"/>
      <c r="E53" s="80"/>
      <c r="F53" s="80"/>
      <c r="G53" s="80"/>
      <c r="H53" s="81"/>
      <c r="I53" s="81"/>
      <c r="J53" s="81"/>
      <c r="K53" s="80"/>
      <c r="L53" s="80"/>
      <c r="M53" s="80"/>
      <c r="N53" s="80"/>
      <c r="O53" s="80"/>
      <c r="P53" s="81"/>
      <c r="Q53" s="81"/>
      <c r="R53" s="81"/>
      <c r="S53" s="80"/>
      <c r="T53" s="80"/>
      <c r="U53" s="80"/>
      <c r="V53" s="80"/>
      <c r="W53" s="80"/>
      <c r="X53" s="81"/>
      <c r="Y53" s="81"/>
      <c r="Z53" s="81"/>
      <c r="AA53" s="80"/>
      <c r="AB53" s="80"/>
      <c r="AC53" s="80"/>
      <c r="AD53" s="80"/>
      <c r="AE53" s="80"/>
      <c r="AF53" s="81"/>
      <c r="AG53" s="81"/>
      <c r="AH53" s="81"/>
      <c r="AI53" s="80"/>
      <c r="AJ53" s="80"/>
      <c r="AK53" s="80"/>
      <c r="AL53" s="80"/>
      <c r="AM53" s="80"/>
      <c r="AN53" s="81"/>
      <c r="AO53" s="81"/>
      <c r="AP53" s="81"/>
    </row>
    <row r="54" spans="1:42" ht="42" x14ac:dyDescent="0.35">
      <c r="A54" s="78">
        <v>8</v>
      </c>
      <c r="B54" s="79" t="s">
        <v>102</v>
      </c>
      <c r="C54" s="80"/>
      <c r="D54" s="80"/>
      <c r="E54" s="80"/>
      <c r="F54" s="80"/>
      <c r="G54" s="80"/>
      <c r="H54" s="81"/>
      <c r="I54" s="81"/>
      <c r="J54" s="81"/>
      <c r="K54" s="80"/>
      <c r="L54" s="80"/>
      <c r="M54" s="80"/>
      <c r="N54" s="80"/>
      <c r="O54" s="80"/>
      <c r="P54" s="81"/>
      <c r="Q54" s="81"/>
      <c r="R54" s="81"/>
      <c r="S54" s="80"/>
      <c r="T54" s="80"/>
      <c r="U54" s="80"/>
      <c r="V54" s="80"/>
      <c r="W54" s="80"/>
      <c r="X54" s="81"/>
      <c r="Y54" s="81"/>
      <c r="Z54" s="81"/>
      <c r="AA54" s="80"/>
      <c r="AB54" s="80"/>
      <c r="AC54" s="80"/>
      <c r="AD54" s="80"/>
      <c r="AE54" s="80"/>
      <c r="AF54" s="81"/>
      <c r="AG54" s="81"/>
      <c r="AH54" s="81"/>
      <c r="AI54" s="80"/>
      <c r="AJ54" s="80"/>
      <c r="AK54" s="80"/>
      <c r="AL54" s="80"/>
      <c r="AM54" s="80"/>
      <c r="AN54" s="81"/>
      <c r="AO54" s="81"/>
      <c r="AP54" s="81"/>
    </row>
    <row r="55" spans="1:42" x14ac:dyDescent="0.35">
      <c r="A55" s="78">
        <v>9</v>
      </c>
      <c r="B55" s="82" t="s">
        <v>103</v>
      </c>
      <c r="C55" s="80"/>
      <c r="D55" s="80"/>
      <c r="E55" s="80"/>
      <c r="F55" s="80"/>
      <c r="G55" s="80"/>
      <c r="H55" s="81"/>
      <c r="I55" s="81"/>
      <c r="J55" s="81"/>
      <c r="K55" s="80"/>
      <c r="L55" s="80"/>
      <c r="M55" s="80"/>
      <c r="N55" s="80"/>
      <c r="O55" s="80"/>
      <c r="P55" s="81"/>
      <c r="Q55" s="81"/>
      <c r="R55" s="81"/>
      <c r="S55" s="80"/>
      <c r="T55" s="80"/>
      <c r="U55" s="80"/>
      <c r="V55" s="80"/>
      <c r="W55" s="80"/>
      <c r="X55" s="81"/>
      <c r="Y55" s="81"/>
      <c r="Z55" s="81"/>
      <c r="AA55" s="80"/>
      <c r="AB55" s="80"/>
      <c r="AC55" s="80"/>
      <c r="AD55" s="80"/>
      <c r="AE55" s="80"/>
      <c r="AF55" s="81"/>
      <c r="AG55" s="81"/>
      <c r="AH55" s="81"/>
      <c r="AI55" s="80"/>
      <c r="AJ55" s="80"/>
      <c r="AK55" s="80"/>
      <c r="AL55" s="80"/>
      <c r="AM55" s="80"/>
      <c r="AN55" s="81"/>
      <c r="AO55" s="81"/>
      <c r="AP55" s="81"/>
    </row>
    <row r="56" spans="1:42" x14ac:dyDescent="0.35">
      <c r="A56" s="78">
        <v>10</v>
      </c>
      <c r="B56" s="82" t="s">
        <v>104</v>
      </c>
      <c r="C56" s="80"/>
      <c r="D56" s="80"/>
      <c r="E56" s="80"/>
      <c r="F56" s="80"/>
      <c r="G56" s="80"/>
      <c r="H56" s="81"/>
      <c r="I56" s="81"/>
      <c r="J56" s="81"/>
      <c r="K56" s="80"/>
      <c r="L56" s="80"/>
      <c r="M56" s="80"/>
      <c r="N56" s="80"/>
      <c r="O56" s="80"/>
      <c r="P56" s="81"/>
      <c r="Q56" s="81"/>
      <c r="R56" s="81"/>
      <c r="S56" s="80"/>
      <c r="T56" s="80"/>
      <c r="U56" s="80"/>
      <c r="V56" s="80"/>
      <c r="W56" s="80"/>
      <c r="X56" s="81"/>
      <c r="Y56" s="81"/>
      <c r="Z56" s="81"/>
      <c r="AA56" s="80"/>
      <c r="AB56" s="80"/>
      <c r="AC56" s="80"/>
      <c r="AD56" s="80"/>
      <c r="AE56" s="80"/>
      <c r="AF56" s="81"/>
      <c r="AG56" s="81"/>
      <c r="AH56" s="81"/>
      <c r="AI56" s="80"/>
      <c r="AJ56" s="80"/>
      <c r="AK56" s="80"/>
      <c r="AL56" s="80"/>
      <c r="AM56" s="80"/>
      <c r="AN56" s="81"/>
      <c r="AO56" s="81"/>
      <c r="AP56" s="81"/>
    </row>
    <row r="57" spans="1:42" x14ac:dyDescent="0.35">
      <c r="A57" s="78">
        <v>11</v>
      </c>
      <c r="B57" s="82" t="s">
        <v>105</v>
      </c>
      <c r="C57" s="80"/>
      <c r="D57" s="80"/>
      <c r="E57" s="80"/>
      <c r="F57" s="80"/>
      <c r="G57" s="80"/>
      <c r="H57" s="81"/>
      <c r="I57" s="81"/>
      <c r="J57" s="81"/>
      <c r="K57" s="80"/>
      <c r="L57" s="80"/>
      <c r="M57" s="80"/>
      <c r="N57" s="80"/>
      <c r="O57" s="80"/>
      <c r="P57" s="81"/>
      <c r="Q57" s="81"/>
      <c r="R57" s="81"/>
      <c r="S57" s="80"/>
      <c r="T57" s="80"/>
      <c r="U57" s="80"/>
      <c r="V57" s="80"/>
      <c r="W57" s="80"/>
      <c r="X57" s="81"/>
      <c r="Y57" s="81"/>
      <c r="Z57" s="81"/>
      <c r="AA57" s="80"/>
      <c r="AB57" s="80"/>
      <c r="AC57" s="80"/>
      <c r="AD57" s="80"/>
      <c r="AE57" s="80"/>
      <c r="AF57" s="81"/>
      <c r="AG57" s="81"/>
      <c r="AH57" s="81"/>
      <c r="AI57" s="80"/>
      <c r="AJ57" s="80"/>
      <c r="AK57" s="80"/>
      <c r="AL57" s="80"/>
      <c r="AM57" s="80"/>
      <c r="AN57" s="81"/>
      <c r="AO57" s="81"/>
      <c r="AP57" s="81"/>
    </row>
    <row r="58" spans="1:42" x14ac:dyDescent="0.35">
      <c r="A58" s="78">
        <v>12</v>
      </c>
      <c r="B58" s="82" t="s">
        <v>106</v>
      </c>
      <c r="C58" s="80"/>
      <c r="D58" s="80"/>
      <c r="E58" s="80"/>
      <c r="F58" s="80"/>
      <c r="G58" s="80"/>
      <c r="H58" s="81"/>
      <c r="I58" s="81"/>
      <c r="J58" s="81"/>
      <c r="K58" s="80"/>
      <c r="L58" s="80"/>
      <c r="M58" s="80"/>
      <c r="N58" s="80"/>
      <c r="O58" s="80"/>
      <c r="P58" s="81"/>
      <c r="Q58" s="81"/>
      <c r="R58" s="81"/>
      <c r="S58" s="80"/>
      <c r="T58" s="80"/>
      <c r="U58" s="80"/>
      <c r="V58" s="80"/>
      <c r="W58" s="80"/>
      <c r="X58" s="81"/>
      <c r="Y58" s="81"/>
      <c r="Z58" s="81"/>
      <c r="AA58" s="80"/>
      <c r="AB58" s="80"/>
      <c r="AC58" s="80"/>
      <c r="AD58" s="80"/>
      <c r="AE58" s="80"/>
      <c r="AF58" s="81"/>
      <c r="AG58" s="81"/>
      <c r="AH58" s="81"/>
      <c r="AI58" s="80"/>
      <c r="AJ58" s="80"/>
      <c r="AK58" s="80"/>
      <c r="AL58" s="80"/>
      <c r="AM58" s="80"/>
      <c r="AN58" s="81"/>
      <c r="AO58" s="81"/>
      <c r="AP58" s="81"/>
    </row>
    <row r="59" spans="1:42" x14ac:dyDescent="0.35">
      <c r="A59" s="78">
        <v>13</v>
      </c>
      <c r="B59" s="82" t="s">
        <v>107</v>
      </c>
      <c r="C59" s="80"/>
      <c r="D59" s="80"/>
      <c r="E59" s="80"/>
      <c r="F59" s="80"/>
      <c r="G59" s="80"/>
      <c r="H59" s="81"/>
      <c r="I59" s="81"/>
      <c r="J59" s="81"/>
      <c r="K59" s="80"/>
      <c r="L59" s="80"/>
      <c r="M59" s="80"/>
      <c r="N59" s="80"/>
      <c r="O59" s="80"/>
      <c r="P59" s="81"/>
      <c r="Q59" s="81"/>
      <c r="R59" s="81"/>
      <c r="S59" s="80"/>
      <c r="T59" s="80"/>
      <c r="U59" s="80"/>
      <c r="V59" s="80"/>
      <c r="W59" s="80"/>
      <c r="X59" s="81"/>
      <c r="Y59" s="81"/>
      <c r="Z59" s="81"/>
      <c r="AA59" s="80"/>
      <c r="AB59" s="80"/>
      <c r="AC59" s="80"/>
      <c r="AD59" s="80"/>
      <c r="AE59" s="80"/>
      <c r="AF59" s="81"/>
      <c r="AG59" s="81"/>
      <c r="AH59" s="81"/>
      <c r="AI59" s="80"/>
      <c r="AJ59" s="80"/>
      <c r="AK59" s="80"/>
      <c r="AL59" s="80"/>
      <c r="AM59" s="80"/>
      <c r="AN59" s="81"/>
      <c r="AO59" s="81"/>
      <c r="AP59" s="81"/>
    </row>
    <row r="60" spans="1:42" x14ac:dyDescent="0.35">
      <c r="A60" s="78">
        <v>14</v>
      </c>
      <c r="B60" s="82" t="s">
        <v>108</v>
      </c>
      <c r="C60" s="80"/>
      <c r="D60" s="80"/>
      <c r="E60" s="80"/>
      <c r="F60" s="80"/>
      <c r="G60" s="80"/>
      <c r="H60" s="81"/>
      <c r="I60" s="81"/>
      <c r="J60" s="81"/>
      <c r="K60" s="80"/>
      <c r="L60" s="80"/>
      <c r="M60" s="80"/>
      <c r="N60" s="80"/>
      <c r="O60" s="80"/>
      <c r="P60" s="81"/>
      <c r="Q60" s="81"/>
      <c r="R60" s="81"/>
      <c r="S60" s="80"/>
      <c r="T60" s="80"/>
      <c r="U60" s="80"/>
      <c r="V60" s="80"/>
      <c r="W60" s="80"/>
      <c r="X60" s="81"/>
      <c r="Y60" s="81"/>
      <c r="Z60" s="81"/>
      <c r="AA60" s="80"/>
      <c r="AB60" s="80"/>
      <c r="AC60" s="80"/>
      <c r="AD60" s="80"/>
      <c r="AE60" s="80"/>
      <c r="AF60" s="81"/>
      <c r="AG60" s="81"/>
      <c r="AH60" s="81"/>
      <c r="AI60" s="80"/>
      <c r="AJ60" s="80"/>
      <c r="AK60" s="80"/>
      <c r="AL60" s="80"/>
      <c r="AM60" s="80"/>
      <c r="AN60" s="81"/>
      <c r="AO60" s="81"/>
      <c r="AP60" s="81"/>
    </row>
    <row r="61" spans="1:42" x14ac:dyDescent="0.35">
      <c r="A61" s="78">
        <v>15</v>
      </c>
      <c r="B61" s="82" t="s">
        <v>109</v>
      </c>
      <c r="C61" s="80"/>
      <c r="D61" s="80"/>
      <c r="E61" s="80"/>
      <c r="F61" s="80"/>
      <c r="G61" s="80"/>
      <c r="H61" s="81"/>
      <c r="I61" s="81"/>
      <c r="J61" s="81"/>
      <c r="K61" s="80"/>
      <c r="L61" s="80"/>
      <c r="M61" s="80"/>
      <c r="N61" s="80"/>
      <c r="O61" s="80"/>
      <c r="P61" s="81"/>
      <c r="Q61" s="81"/>
      <c r="R61" s="81"/>
      <c r="S61" s="80"/>
      <c r="T61" s="80"/>
      <c r="U61" s="80"/>
      <c r="V61" s="80"/>
      <c r="W61" s="80"/>
      <c r="X61" s="81"/>
      <c r="Y61" s="81"/>
      <c r="Z61" s="81"/>
      <c r="AA61" s="80"/>
      <c r="AB61" s="80"/>
      <c r="AC61" s="80"/>
      <c r="AD61" s="80"/>
      <c r="AE61" s="80"/>
      <c r="AF61" s="81"/>
      <c r="AG61" s="81"/>
      <c r="AH61" s="81"/>
      <c r="AI61" s="80"/>
      <c r="AJ61" s="80"/>
      <c r="AK61" s="80"/>
      <c r="AL61" s="80"/>
      <c r="AM61" s="80"/>
      <c r="AN61" s="81"/>
      <c r="AO61" s="81"/>
      <c r="AP61" s="81"/>
    </row>
    <row r="62" spans="1:42" x14ac:dyDescent="0.35">
      <c r="A62" s="78">
        <v>16</v>
      </c>
      <c r="B62" s="82" t="s">
        <v>110</v>
      </c>
      <c r="C62" s="80"/>
      <c r="D62" s="80"/>
      <c r="E62" s="80"/>
      <c r="F62" s="80"/>
      <c r="G62" s="80"/>
      <c r="H62" s="81"/>
      <c r="I62" s="81"/>
      <c r="J62" s="81"/>
      <c r="K62" s="80"/>
      <c r="L62" s="80"/>
      <c r="M62" s="80"/>
      <c r="N62" s="80"/>
      <c r="O62" s="80"/>
      <c r="P62" s="81"/>
      <c r="Q62" s="81"/>
      <c r="R62" s="81"/>
      <c r="S62" s="80"/>
      <c r="T62" s="80"/>
      <c r="U62" s="80"/>
      <c r="V62" s="80"/>
      <c r="W62" s="80"/>
      <c r="X62" s="81"/>
      <c r="Y62" s="81"/>
      <c r="Z62" s="81"/>
      <c r="AA62" s="80"/>
      <c r="AB62" s="80"/>
      <c r="AC62" s="80"/>
      <c r="AD62" s="80"/>
      <c r="AE62" s="80"/>
      <c r="AF62" s="81"/>
      <c r="AG62" s="81"/>
      <c r="AH62" s="81"/>
      <c r="AI62" s="80"/>
      <c r="AJ62" s="80"/>
      <c r="AK62" s="80"/>
      <c r="AL62" s="80"/>
      <c r="AM62" s="80"/>
      <c r="AN62" s="81"/>
      <c r="AO62" s="81"/>
      <c r="AP62" s="81"/>
    </row>
    <row r="63" spans="1:42" ht="42" x14ac:dyDescent="0.35">
      <c r="A63" s="78">
        <v>17</v>
      </c>
      <c r="B63" s="79" t="s">
        <v>111</v>
      </c>
      <c r="C63" s="80"/>
      <c r="D63" s="80"/>
      <c r="E63" s="80"/>
      <c r="F63" s="80"/>
      <c r="G63" s="80"/>
      <c r="H63" s="81"/>
      <c r="I63" s="81"/>
      <c r="J63" s="81"/>
      <c r="K63" s="80"/>
      <c r="L63" s="80"/>
      <c r="M63" s="80"/>
      <c r="N63" s="80"/>
      <c r="O63" s="80"/>
      <c r="P63" s="81"/>
      <c r="Q63" s="81"/>
      <c r="R63" s="81"/>
      <c r="S63" s="80"/>
      <c r="T63" s="80"/>
      <c r="U63" s="80"/>
      <c r="V63" s="80"/>
      <c r="W63" s="80"/>
      <c r="X63" s="81"/>
      <c r="Y63" s="81"/>
      <c r="Z63" s="81"/>
      <c r="AA63" s="80"/>
      <c r="AB63" s="80"/>
      <c r="AC63" s="80"/>
      <c r="AD63" s="80"/>
      <c r="AE63" s="80"/>
      <c r="AF63" s="81"/>
      <c r="AG63" s="81"/>
      <c r="AH63" s="81"/>
      <c r="AI63" s="80"/>
      <c r="AJ63" s="80"/>
      <c r="AK63" s="80"/>
      <c r="AL63" s="80"/>
      <c r="AM63" s="80"/>
      <c r="AN63" s="81"/>
      <c r="AO63" s="81"/>
      <c r="AP63" s="81"/>
    </row>
    <row r="64" spans="1:42" x14ac:dyDescent="0.35">
      <c r="A64" s="78">
        <v>18</v>
      </c>
      <c r="B64" s="82" t="s">
        <v>112</v>
      </c>
      <c r="C64" s="80"/>
      <c r="D64" s="80"/>
      <c r="E64" s="80"/>
      <c r="F64" s="80"/>
      <c r="G64" s="80"/>
      <c r="H64" s="81"/>
      <c r="I64" s="81"/>
      <c r="J64" s="81"/>
      <c r="K64" s="80"/>
      <c r="L64" s="80"/>
      <c r="M64" s="80"/>
      <c r="N64" s="80"/>
      <c r="O64" s="80"/>
      <c r="P64" s="81"/>
      <c r="Q64" s="81"/>
      <c r="R64" s="81"/>
      <c r="S64" s="80"/>
      <c r="T64" s="80"/>
      <c r="U64" s="80"/>
      <c r="V64" s="80"/>
      <c r="W64" s="80"/>
      <c r="X64" s="81"/>
      <c r="Y64" s="81"/>
      <c r="Z64" s="81"/>
      <c r="AA64" s="80"/>
      <c r="AB64" s="80"/>
      <c r="AC64" s="80"/>
      <c r="AD64" s="80"/>
      <c r="AE64" s="80"/>
      <c r="AF64" s="81"/>
      <c r="AG64" s="81"/>
      <c r="AH64" s="81"/>
      <c r="AI64" s="80"/>
      <c r="AJ64" s="80"/>
      <c r="AK64" s="80"/>
      <c r="AL64" s="80"/>
      <c r="AM64" s="80"/>
      <c r="AN64" s="81"/>
      <c r="AO64" s="81"/>
      <c r="AP64" s="81"/>
    </row>
    <row r="65" spans="1:42" x14ac:dyDescent="0.35">
      <c r="A65" s="78">
        <v>19</v>
      </c>
      <c r="B65" s="79" t="s">
        <v>113</v>
      </c>
      <c r="C65" s="80"/>
      <c r="D65" s="80"/>
      <c r="E65" s="80"/>
      <c r="F65" s="80"/>
      <c r="G65" s="80"/>
      <c r="H65" s="81"/>
      <c r="I65" s="81"/>
      <c r="J65" s="81"/>
      <c r="K65" s="80"/>
      <c r="L65" s="80"/>
      <c r="M65" s="80"/>
      <c r="N65" s="80"/>
      <c r="O65" s="80"/>
      <c r="P65" s="81"/>
      <c r="Q65" s="81"/>
      <c r="R65" s="81"/>
      <c r="S65" s="80"/>
      <c r="T65" s="80"/>
      <c r="U65" s="80"/>
      <c r="V65" s="80"/>
      <c r="W65" s="80"/>
      <c r="X65" s="81"/>
      <c r="Y65" s="81"/>
      <c r="Z65" s="81"/>
      <c r="AA65" s="80"/>
      <c r="AB65" s="80"/>
      <c r="AC65" s="80"/>
      <c r="AD65" s="80"/>
      <c r="AE65" s="80"/>
      <c r="AF65" s="81"/>
      <c r="AG65" s="81"/>
      <c r="AH65" s="81"/>
      <c r="AI65" s="80"/>
      <c r="AJ65" s="80"/>
      <c r="AK65" s="80"/>
      <c r="AL65" s="80"/>
      <c r="AM65" s="80"/>
      <c r="AN65" s="81"/>
      <c r="AO65" s="81"/>
      <c r="AP65" s="81"/>
    </row>
  </sheetData>
  <mergeCells count="30">
    <mergeCell ref="A1:AP1"/>
    <mergeCell ref="A2:A5"/>
    <mergeCell ref="B2:B5"/>
    <mergeCell ref="C2:J2"/>
    <mergeCell ref="K2:R2"/>
    <mergeCell ref="S2:Z2"/>
    <mergeCell ref="AA2:AH2"/>
    <mergeCell ref="AI2:AP2"/>
    <mergeCell ref="C3:J3"/>
    <mergeCell ref="K3:R3"/>
    <mergeCell ref="S3:Z3"/>
    <mergeCell ref="AA3:AH3"/>
    <mergeCell ref="AI3:AP3"/>
    <mergeCell ref="C4:G4"/>
    <mergeCell ref="H4:J4"/>
    <mergeCell ref="K4:O4"/>
    <mergeCell ref="A39:A40"/>
    <mergeCell ref="A42:A44"/>
    <mergeCell ref="A46:AP46"/>
    <mergeCell ref="AF4:AH4"/>
    <mergeCell ref="AI4:AM4"/>
    <mergeCell ref="AN4:AP4"/>
    <mergeCell ref="A6:AP6"/>
    <mergeCell ref="A15:A16"/>
    <mergeCell ref="A24:A25"/>
    <mergeCell ref="P4:R4"/>
    <mergeCell ref="S4:W4"/>
    <mergeCell ref="X4:Z4"/>
    <mergeCell ref="AA4:AE4"/>
    <mergeCell ref="A34:A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วิธีกรอกข้อมูล</vt:lpstr>
      <vt:lpstr>แผนกำลังคน</vt:lpstr>
      <vt:lpstr>ข้อมูลเกษียณ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Ann-Chro</dc:creator>
  <cp:lastModifiedBy>Ann-Chro</cp:lastModifiedBy>
  <dcterms:created xsi:type="dcterms:W3CDTF">2018-08-01T06:14:51Z</dcterms:created>
  <dcterms:modified xsi:type="dcterms:W3CDTF">2018-08-06T11:04:17Z</dcterms:modified>
</cp:coreProperties>
</file>